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5\Volume_1\Mercor\www\zmiany 2021\1-3Q 2020-21\"/>
    </mc:Choice>
  </mc:AlternateContent>
  <xr:revisionPtr revIDLastSave="0" documentId="13_ncr:1_{58B06B7A-8053-4362-B6E3-3372D90D639A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Grupa Mercor" sheetId="5" r:id="rId1"/>
    <sheet name="Bilans Grupa Mercor" sheetId="2" r:id="rId2"/>
    <sheet name="RZiS Grupa Mercor" sheetId="3" r:id="rId3"/>
    <sheet name="Cash flow Grupa Mercor" sheetId="4" r:id="rId4"/>
    <sheet name="zamówienia" sheetId="6" r:id="rId5"/>
  </sheets>
  <definedNames>
    <definedName name="_xlnm.Print_Area" localSheetId="0">'Grupa Mercor'!$A$1:$A$12</definedName>
    <definedName name="_xlnm.Print_Area" localSheetId="2">'RZiS Grupa Mercor'!$A$1:$M$32</definedName>
  </definedNames>
  <calcPr calcId="191029"/>
</workbook>
</file>

<file path=xl/calcChain.xml><?xml version="1.0" encoding="utf-8"?>
<calcChain xmlns="http://schemas.openxmlformats.org/spreadsheetml/2006/main">
  <c r="K10" i="4" l="1"/>
  <c r="G10" i="4"/>
  <c r="H37" i="3" l="1"/>
  <c r="H33" i="3"/>
  <c r="H38" i="3"/>
  <c r="H30" i="3"/>
  <c r="H29" i="3"/>
  <c r="H24" i="3"/>
  <c r="H21" i="3"/>
  <c r="H18" i="3"/>
  <c r="H17" i="3"/>
  <c r="H14" i="3"/>
  <c r="H13" i="3"/>
  <c r="H12" i="3"/>
  <c r="H11" i="3"/>
  <c r="H8" i="3"/>
  <c r="H7" i="3"/>
  <c r="G37" i="3"/>
  <c r="G33" i="3"/>
  <c r="G29" i="3"/>
  <c r="G11" i="3"/>
  <c r="G12" i="3"/>
  <c r="G21" i="3"/>
  <c r="G14" i="3"/>
  <c r="G38" i="3"/>
  <c r="G30" i="3"/>
  <c r="G18" i="3"/>
  <c r="G17" i="3"/>
  <c r="G13" i="3"/>
  <c r="G8" i="3"/>
  <c r="G7" i="3"/>
  <c r="K12" i="2" l="1"/>
  <c r="K11" i="2"/>
  <c r="J12" i="2"/>
  <c r="J11" i="2"/>
  <c r="I11" i="2"/>
  <c r="I12" i="2"/>
  <c r="I52" i="2"/>
  <c r="I15" i="2"/>
  <c r="I9" i="2" l="1"/>
  <c r="I36" i="2"/>
  <c r="I38" i="2"/>
  <c r="I49" i="2"/>
  <c r="I10" i="2"/>
  <c r="I47" i="2"/>
  <c r="I19" i="2"/>
  <c r="I41" i="2"/>
  <c r="I58" i="2"/>
  <c r="I57" i="2"/>
  <c r="I56" i="2"/>
  <c r="I32" i="2"/>
  <c r="I31" i="2"/>
  <c r="I21" i="2"/>
  <c r="I14" i="2"/>
  <c r="I13" i="2"/>
  <c r="J9" i="2"/>
  <c r="K9" i="2"/>
  <c r="K49" i="2"/>
  <c r="J49" i="2"/>
  <c r="J38" i="2"/>
  <c r="J36" i="2"/>
  <c r="J41" i="2"/>
  <c r="J10" i="2"/>
  <c r="J47" i="2"/>
  <c r="J19" i="2"/>
  <c r="J52" i="2"/>
  <c r="J15" i="2"/>
  <c r="J64" i="2" l="1"/>
  <c r="J58" i="2"/>
  <c r="J57" i="2"/>
  <c r="J56" i="2"/>
  <c r="J25" i="2"/>
  <c r="J24" i="2"/>
  <c r="J23" i="2"/>
  <c r="J21" i="2"/>
  <c r="J13" i="2"/>
  <c r="K41" i="2"/>
  <c r="K38" i="2"/>
  <c r="K36" i="2"/>
  <c r="K52" i="2"/>
  <c r="K15" i="2"/>
  <c r="K10" i="2" l="1"/>
  <c r="K47" i="2"/>
  <c r="K19" i="2"/>
  <c r="K64" i="2"/>
  <c r="K57" i="2"/>
  <c r="K56" i="2"/>
  <c r="K25" i="2"/>
  <c r="K24" i="2"/>
  <c r="K23" i="2"/>
  <c r="K22" i="2"/>
  <c r="K21" i="2"/>
  <c r="K13" i="2"/>
  <c r="M38" i="2"/>
  <c r="M41" i="2"/>
  <c r="M52" i="2"/>
  <c r="M11" i="2"/>
  <c r="M15" i="2"/>
  <c r="M12" i="2" l="1"/>
  <c r="M49" i="2"/>
  <c r="M10" i="2"/>
  <c r="M36" i="2"/>
  <c r="M9" i="2"/>
  <c r="M47" i="2"/>
  <c r="M19" i="2"/>
  <c r="H9" i="4"/>
  <c r="H17" i="4" s="1"/>
  <c r="H7" i="4"/>
  <c r="L9" i="4"/>
  <c r="L17" i="4" s="1"/>
  <c r="L19" i="4" s="1"/>
  <c r="L7" i="4"/>
  <c r="M64" i="2"/>
  <c r="M58" i="2"/>
  <c r="M57" i="2"/>
  <c r="M56" i="2"/>
  <c r="M45" i="2"/>
  <c r="M32" i="2"/>
  <c r="M31" i="2"/>
  <c r="M25" i="2"/>
  <c r="M24" i="2"/>
  <c r="M23" i="2"/>
  <c r="M21" i="2"/>
  <c r="M13" i="2"/>
  <c r="M46" i="3"/>
  <c r="M45" i="3"/>
  <c r="I46" i="3"/>
  <c r="I45" i="3"/>
  <c r="I43" i="3"/>
  <c r="I42" i="3"/>
  <c r="I38" i="3"/>
  <c r="L38" i="3" s="1"/>
  <c r="I37" i="3"/>
  <c r="L37" i="3" s="1"/>
  <c r="I33" i="3"/>
  <c r="L33" i="3" s="1"/>
  <c r="I30" i="3"/>
  <c r="L30" i="3" s="1"/>
  <c r="I29" i="3"/>
  <c r="L29" i="3" s="1"/>
  <c r="I24" i="3"/>
  <c r="L24" i="3" s="1"/>
  <c r="I21" i="3"/>
  <c r="L21" i="3" s="1"/>
  <c r="I18" i="3"/>
  <c r="L18" i="3" s="1"/>
  <c r="I17" i="3"/>
  <c r="L17" i="3" s="1"/>
  <c r="I14" i="3"/>
  <c r="L14" i="3" s="1"/>
  <c r="I13" i="3"/>
  <c r="L13" i="3" s="1"/>
  <c r="I12" i="3"/>
  <c r="L12" i="3" s="1"/>
  <c r="I11" i="3"/>
  <c r="L11" i="3" s="1"/>
  <c r="I8" i="3"/>
  <c r="I7" i="3"/>
  <c r="L7" i="3" s="1"/>
  <c r="M43" i="3"/>
  <c r="M42" i="3"/>
  <c r="M38" i="3"/>
  <c r="M37" i="3"/>
  <c r="M33" i="3"/>
  <c r="M30" i="3"/>
  <c r="M29" i="3"/>
  <c r="M24" i="3"/>
  <c r="M21" i="3"/>
  <c r="M18" i="3"/>
  <c r="M17" i="3"/>
  <c r="M14" i="3"/>
  <c r="M13" i="3"/>
  <c r="M12" i="3"/>
  <c r="M11" i="3"/>
  <c r="M8" i="3"/>
  <c r="M7" i="3"/>
  <c r="G17" i="4"/>
  <c r="G19" i="4" s="1"/>
  <c r="F17" i="4"/>
  <c r="F19" i="4" s="1"/>
  <c r="E17" i="4"/>
  <c r="E19" i="4" s="1"/>
  <c r="D17" i="4"/>
  <c r="D19" i="4" s="1"/>
  <c r="C17" i="4"/>
  <c r="C19" i="4" s="1"/>
  <c r="K17" i="4"/>
  <c r="J17" i="4"/>
  <c r="J19" i="4" s="1"/>
  <c r="I17" i="4"/>
  <c r="I19" i="4" s="1"/>
  <c r="M17" i="4"/>
  <c r="M19" i="4" s="1"/>
  <c r="G35" i="4"/>
  <c r="F35" i="4"/>
  <c r="E35" i="4"/>
  <c r="D35" i="4"/>
  <c r="C35" i="4"/>
  <c r="K35" i="4"/>
  <c r="J35" i="4"/>
  <c r="I35" i="4"/>
  <c r="H35" i="4"/>
  <c r="M35" i="4"/>
  <c r="L35" i="4"/>
  <c r="G27" i="4"/>
  <c r="F27" i="4"/>
  <c r="E27" i="4"/>
  <c r="D27" i="4"/>
  <c r="C27" i="4"/>
  <c r="K27" i="4"/>
  <c r="J27" i="4"/>
  <c r="I27" i="4"/>
  <c r="H27" i="4"/>
  <c r="M27" i="4"/>
  <c r="L27" i="4"/>
  <c r="K19" i="4"/>
  <c r="N35" i="4"/>
  <c r="N27" i="4"/>
  <c r="N19" i="4"/>
  <c r="N17" i="4"/>
  <c r="G9" i="3"/>
  <c r="G15" i="3" s="1"/>
  <c r="G19" i="3" s="1"/>
  <c r="G22" i="3" s="1"/>
  <c r="G26" i="3" s="1"/>
  <c r="G35" i="3" s="1"/>
  <c r="F9" i="3"/>
  <c r="F15" i="3" s="1"/>
  <c r="F19" i="3" s="1"/>
  <c r="F22" i="3" s="1"/>
  <c r="F26" i="3" s="1"/>
  <c r="F35" i="3" s="1"/>
  <c r="E9" i="3"/>
  <c r="E15" i="3" s="1"/>
  <c r="E19" i="3" s="1"/>
  <c r="E22" i="3" s="1"/>
  <c r="E26" i="3" s="1"/>
  <c r="E35" i="3" s="1"/>
  <c r="D9" i="3"/>
  <c r="D15" i="3" s="1"/>
  <c r="D19" i="3" s="1"/>
  <c r="D22" i="3" s="1"/>
  <c r="D26" i="3" s="1"/>
  <c r="D35" i="3" s="1"/>
  <c r="C9" i="3"/>
  <c r="C15" i="3" s="1"/>
  <c r="C19" i="3" s="1"/>
  <c r="C22" i="3" s="1"/>
  <c r="C26" i="3" s="1"/>
  <c r="C35" i="3" s="1"/>
  <c r="J9" i="3"/>
  <c r="J15" i="3" s="1"/>
  <c r="J19" i="3" s="1"/>
  <c r="J22" i="3" s="1"/>
  <c r="J26" i="3" s="1"/>
  <c r="J35" i="3" s="1"/>
  <c r="H9" i="3"/>
  <c r="H15" i="3" s="1"/>
  <c r="H19" i="3" s="1"/>
  <c r="H22" i="3" s="1"/>
  <c r="H26" i="3" s="1"/>
  <c r="H35" i="3" s="1"/>
  <c r="N9" i="3"/>
  <c r="N15" i="3" s="1"/>
  <c r="N19" i="3" s="1"/>
  <c r="N22" i="3" s="1"/>
  <c r="N26" i="3" s="1"/>
  <c r="N35" i="3" s="1"/>
  <c r="O9" i="3"/>
  <c r="O15" i="3" s="1"/>
  <c r="O19" i="3" s="1"/>
  <c r="O22" i="3" s="1"/>
  <c r="O26" i="3" s="1"/>
  <c r="O35" i="3" s="1"/>
  <c r="K9" i="3"/>
  <c r="K15" i="3" s="1"/>
  <c r="K19" i="3" s="1"/>
  <c r="K22" i="3" s="1"/>
  <c r="K26" i="3" s="1"/>
  <c r="K35" i="3" s="1"/>
  <c r="N65" i="2"/>
  <c r="N53" i="2"/>
  <c r="N39" i="2"/>
  <c r="N42" i="2" s="1"/>
  <c r="N26" i="2"/>
  <c r="N16" i="2"/>
  <c r="N37" i="4" l="1"/>
  <c r="N39" i="4" s="1"/>
  <c r="I9" i="3"/>
  <c r="L8" i="3"/>
  <c r="L9" i="3" s="1"/>
  <c r="L15" i="3" s="1"/>
  <c r="L19" i="3" s="1"/>
  <c r="L22" i="3" s="1"/>
  <c r="L26" i="3" s="1"/>
  <c r="L35" i="3" s="1"/>
  <c r="K37" i="4"/>
  <c r="K39" i="4" s="1"/>
  <c r="G37" i="4"/>
  <c r="G39" i="4" s="1"/>
  <c r="C37" i="4"/>
  <c r="C39" i="4" s="1"/>
  <c r="D37" i="4"/>
  <c r="D39" i="4" s="1"/>
  <c r="E37" i="4"/>
  <c r="E39" i="4" s="1"/>
  <c r="F37" i="4"/>
  <c r="F39" i="4" s="1"/>
  <c r="H19" i="4"/>
  <c r="H37" i="4" s="1"/>
  <c r="H39" i="4" s="1"/>
  <c r="L37" i="4"/>
  <c r="L39" i="4" s="1"/>
  <c r="I15" i="3"/>
  <c r="I19" i="3" s="1"/>
  <c r="I22" i="3" s="1"/>
  <c r="I26" i="3" s="1"/>
  <c r="I35" i="3" s="1"/>
  <c r="M9" i="3"/>
  <c r="M15" i="3" s="1"/>
  <c r="M19" i="3" s="1"/>
  <c r="M22" i="3" s="1"/>
  <c r="M26" i="3" s="1"/>
  <c r="M35" i="3" s="1"/>
  <c r="I37" i="4"/>
  <c r="I39" i="4" s="1"/>
  <c r="M37" i="4"/>
  <c r="M39" i="4" s="1"/>
  <c r="J37" i="4"/>
  <c r="J39" i="4" s="1"/>
  <c r="N67" i="2"/>
  <c r="N27" i="2"/>
  <c r="D65" i="2"/>
  <c r="E65" i="2"/>
  <c r="F65" i="2"/>
  <c r="G65" i="2"/>
  <c r="H65" i="2"/>
  <c r="I65" i="2"/>
  <c r="J65" i="2"/>
  <c r="K65" i="2"/>
  <c r="L65" i="2"/>
  <c r="M65" i="2"/>
  <c r="O65" i="2"/>
  <c r="C65" i="2"/>
  <c r="D53" i="2"/>
  <c r="E53" i="2"/>
  <c r="F53" i="2"/>
  <c r="G53" i="2"/>
  <c r="H53" i="2"/>
  <c r="I53" i="2"/>
  <c r="J53" i="2"/>
  <c r="K53" i="2"/>
  <c r="L53" i="2"/>
  <c r="M53" i="2"/>
  <c r="O53" i="2"/>
  <c r="C53" i="2"/>
  <c r="F42" i="2"/>
  <c r="D39" i="2"/>
  <c r="D42" i="2" s="1"/>
  <c r="E39" i="2"/>
  <c r="E42" i="2" s="1"/>
  <c r="F39" i="2"/>
  <c r="G39" i="2"/>
  <c r="G42" i="2" s="1"/>
  <c r="H39" i="2"/>
  <c r="H42" i="2" s="1"/>
  <c r="I39" i="2"/>
  <c r="I42" i="2" s="1"/>
  <c r="J39" i="2"/>
  <c r="J42" i="2" s="1"/>
  <c r="K39" i="2"/>
  <c r="K42" i="2" s="1"/>
  <c r="L39" i="2"/>
  <c r="L42" i="2" s="1"/>
  <c r="M39" i="2"/>
  <c r="M42" i="2" s="1"/>
  <c r="O39" i="2"/>
  <c r="O42" i="2" s="1"/>
  <c r="C39" i="2"/>
  <c r="C42" i="2" s="1"/>
  <c r="D26" i="2"/>
  <c r="E26" i="2"/>
  <c r="F26" i="2"/>
  <c r="G26" i="2"/>
  <c r="H26" i="2"/>
  <c r="I26" i="2"/>
  <c r="J26" i="2"/>
  <c r="K26" i="2"/>
  <c r="L26" i="2"/>
  <c r="M26" i="2"/>
  <c r="O26" i="2"/>
  <c r="C26" i="2"/>
  <c r="D16" i="2"/>
  <c r="E16" i="2"/>
  <c r="F16" i="2"/>
  <c r="G16" i="2"/>
  <c r="H16" i="2"/>
  <c r="I16" i="2"/>
  <c r="J16" i="2"/>
  <c r="K16" i="2"/>
  <c r="L16" i="2"/>
  <c r="M16" i="2"/>
  <c r="O16" i="2"/>
  <c r="C16" i="2"/>
  <c r="C67" i="2" l="1"/>
  <c r="D27" i="2"/>
  <c r="E27" i="2"/>
  <c r="K67" i="2"/>
  <c r="M27" i="2"/>
  <c r="F27" i="2"/>
  <c r="H27" i="2"/>
  <c r="K27" i="2"/>
  <c r="O67" i="2"/>
  <c r="F67" i="2"/>
  <c r="J27" i="2"/>
  <c r="I27" i="2"/>
  <c r="M67" i="2"/>
  <c r="E67" i="2"/>
  <c r="L67" i="2"/>
  <c r="D67" i="2"/>
  <c r="J67" i="2"/>
  <c r="I67" i="2"/>
  <c r="H67" i="2"/>
  <c r="G67" i="2"/>
  <c r="O27" i="2"/>
  <c r="L27" i="2"/>
  <c r="G27" i="2"/>
  <c r="C27" i="2"/>
</calcChain>
</file>

<file path=xl/sharedStrings.xml><?xml version="1.0" encoding="utf-8"?>
<sst xmlns="http://schemas.openxmlformats.org/spreadsheetml/2006/main" count="224" uniqueCount="161">
  <si>
    <t xml:space="preserve"> </t>
  </si>
  <si>
    <t>SKONSOLIDOWANY RACHUNEK PRZEPŁYWÓW PIENIĘŻNYCH
dane w tys. zł, zgodne z MSSF</t>
  </si>
  <si>
    <t>SKONSOLIDOWANY BILANS</t>
  </si>
  <si>
    <t>SKONSOLIDOWANY RACHUNEK ZYSKÓW I STRAT</t>
  </si>
  <si>
    <t>SKONSOLIDOWANY RACHUNEK PRZEPŁYWÓW PIENIĘŻNYCH</t>
  </si>
  <si>
    <t>Dane kwartalne</t>
  </si>
  <si>
    <t>Dane roczne na dzień 31 marca</t>
  </si>
  <si>
    <t>SKONSOLIDOWANY BILANS
dane w tys. PLN, zgodne z MSSF</t>
  </si>
  <si>
    <t>2017/18</t>
  </si>
  <si>
    <t>2016/17</t>
  </si>
  <si>
    <t>2015/16</t>
  </si>
  <si>
    <t>Dane roczne (1.04-31.03)</t>
  </si>
  <si>
    <t xml:space="preserve">RACHUNEK ZYSKÓW I STRAT, dane w tys. PLN, zgodne z MSSF </t>
  </si>
  <si>
    <t>Rok obrotowy Grupy "MERCOR" S.A. trwa od 1 kwietnia do 31 marca</t>
  </si>
  <si>
    <t>Działalność kontynuowana</t>
  </si>
  <si>
    <t>Przychody ze sprzedaży</t>
  </si>
  <si>
    <t>Koszt własny sprzedaży</t>
  </si>
  <si>
    <t>Zysk brutto na sprzedaży</t>
  </si>
  <si>
    <t>Pozostałe przychody operacyjne</t>
  </si>
  <si>
    <t>Koszty sprzedaży</t>
  </si>
  <si>
    <t>Koszty ogólnego zarządu</t>
  </si>
  <si>
    <t>Pozostałe koszty operacyjne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</si>
  <si>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</si>
  <si>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</si>
  <si>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</si>
  <si>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</si>
  <si>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</si>
  <si>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na działalności kontynuowanej</t>
  </si>
  <si>
    <t>Zysk netto</t>
  </si>
  <si>
    <t>Przypadające:</t>
  </si>
  <si>
    <t>Akcjonariuszom podmiotu dominującego</t>
  </si>
  <si>
    <t>Udziałom niekontrolującym</t>
  </si>
  <si>
    <t>Inne całkowite dochody</t>
  </si>
  <si>
    <t>Całkowite dochody ogółem</t>
  </si>
  <si>
    <t>Zysk na akcję (PLN):</t>
  </si>
  <si>
    <t>Z działalności kontynuowanej:</t>
  </si>
  <si>
    <t>Zwykły</t>
  </si>
  <si>
    <t>Rozwodniony</t>
  </si>
  <si>
    <t>Z działalności kontynuowanej i zaniechanej:</t>
  </si>
  <si>
    <t>Aktywa trwałe</t>
  </si>
  <si>
    <t>Wartość firmy</t>
  </si>
  <si>
    <t>Pozostałe wartości niematerialne</t>
  </si>
  <si>
    <t>Rzeczowe aktywa trwałe</t>
  </si>
  <si>
    <t>Aktywa z tytułu odroczonego podatku dochodowego</t>
  </si>
  <si>
    <t>Inne aktywa długoterminowe</t>
  </si>
  <si>
    <t>Aktywa obrotowe</t>
  </si>
  <si>
    <t>Zapasy</t>
  </si>
  <si>
    <t>Aktywa finansowe</t>
  </si>
  <si>
    <t>Należności z tytułu dostaw i usług oraz pozostałe należności</t>
  </si>
  <si>
    <t>Należności z tytułu podatku dochodowego</t>
  </si>
  <si>
    <t>Inne aktywa obrotowe</t>
  </si>
  <si>
    <t>Środki pieniężne i ich ekwiwalenty</t>
  </si>
  <si>
    <t>Aktywa razem</t>
  </si>
  <si>
    <t>PASYWA</t>
  </si>
  <si>
    <t>AKTYWA</t>
  </si>
  <si>
    <t>Kapitał własny</t>
  </si>
  <si>
    <t>Kapitał akcyjny</t>
  </si>
  <si>
    <t>Kapitał zapasowy ze sprzedaży akcji powyżej ich wartości nominalnej</t>
  </si>
  <si>
    <t>Kapitały rezerwowe</t>
  </si>
  <si>
    <t>Kapitał z aktualizacji wyceny</t>
  </si>
  <si>
    <t>Zyski zatrzymane</t>
  </si>
  <si>
    <t>Kapitały przypadające akcjonariuszom podmiotu dominującego</t>
  </si>
  <si>
    <t>Udziały niekontrolujące</t>
  </si>
  <si>
    <t>Razem kapitały własne</t>
  </si>
  <si>
    <t>Zobowiązanie długoterminowe</t>
  </si>
  <si>
    <t>Długoterminowe pożyczki i kredyty</t>
  </si>
  <si>
    <t>Rezerwa z tytułu podatku odroczonego</t>
  </si>
  <si>
    <t>Rezerwy na zobowiązania</t>
  </si>
  <si>
    <t>Przychody przyszłych okresów</t>
  </si>
  <si>
    <t>Pozostałe zobowiązania finansowe</t>
  </si>
  <si>
    <t>Zobowiązania krótkoterminowe</t>
  </si>
  <si>
    <t>Krótkoterminowe pożyczki i kredyty</t>
  </si>
  <si>
    <t>Działalność operacyjna</t>
  </si>
  <si>
    <t>Korekty o pozycje:</t>
  </si>
  <si>
    <t>Amortyzacja</t>
  </si>
  <si>
    <t>Zmiana stanu zapasów</t>
  </si>
  <si>
    <t>Zmiana stanu należności</t>
  </si>
  <si>
    <t>Zmiana stanu zobowiązań i rezerw</t>
  </si>
  <si>
    <t>Zmiana stanu innych aktywów obrotowych</t>
  </si>
  <si>
    <t>Razem korekty</t>
  </si>
  <si>
    <t>Podatek dochodowy zapłacony</t>
  </si>
  <si>
    <t>Działalność inwestycyjna</t>
  </si>
  <si>
    <t>Wydatki na zakup rzeczowych aktywów trwałych oraz wartości niematerialnych</t>
  </si>
  <si>
    <t>Działalność finansowa</t>
  </si>
  <si>
    <t>Odsetki zapłacone</t>
  </si>
  <si>
    <t>Zmiana stanu środków pieniężnych z działalności kontynuowanej</t>
  </si>
  <si>
    <t>Zysk (strata) netto z działalności zaniechanej</t>
  </si>
  <si>
    <t>Zobowiązania z tytułu dostaw i usług oraz pozostałe zobowiązania</t>
  </si>
  <si>
    <t>Transakcje terminowe typu forward</t>
  </si>
  <si>
    <t>Zobowiązanie z tytułu podatku dochodowego</t>
  </si>
  <si>
    <t>Pasywa razem</t>
  </si>
  <si>
    <t>Zmiana stanu środków pieniężnych</t>
  </si>
  <si>
    <t>Środki pieniężne na początek okresu</t>
  </si>
  <si>
    <t>Środki pieniężne na koniec okresu</t>
  </si>
  <si>
    <t>Dane na koniec okresu</t>
  </si>
  <si>
    <t xml:space="preserve">Dane roczne  (1.04-31.03) - 12 miesięcy                                      </t>
  </si>
  <si>
    <t>* dane za 4 kw. wyliczone jako różnica, nieaudytowane.</t>
  </si>
  <si>
    <t>sierpień</t>
  </si>
  <si>
    <t>wrzesień</t>
  </si>
  <si>
    <t>październik</t>
  </si>
  <si>
    <t>styczeń</t>
  </si>
  <si>
    <t>kwiecień</t>
  </si>
  <si>
    <t>maj</t>
  </si>
  <si>
    <t>czerwiec</t>
  </si>
  <si>
    <t>lipiec</t>
  </si>
  <si>
    <t>listopad</t>
  </si>
  <si>
    <t>Kapitał z wyceny transakcji zabezpieczających i różnice kursowe z konsolidacji</t>
  </si>
  <si>
    <t>grudzień</t>
  </si>
  <si>
    <t>Aktywa z tytułu praw do użytkowania</t>
  </si>
  <si>
    <t>Różnice kursowe z przeliczenia jednostek zagranicznych</t>
  </si>
  <si>
    <t>Zobowiązania z tytułu praw do użytkowania</t>
  </si>
  <si>
    <t>Zobowiązania z tytułu leasingu</t>
  </si>
  <si>
    <t>Różnice kursowe z przeliczenia sprawozdań
finansowych jednostek zagranicznych
(MSSF 15)</t>
  </si>
  <si>
    <t>Zysk (strata) przed opodatkowaniem</t>
  </si>
  <si>
    <t>Odsetki naliczone</t>
  </si>
  <si>
    <t>(Zyski) straty z działalności inwestycyjne</t>
  </si>
  <si>
    <t>Inne korekty (różnice kursowe z konsolidacji)</t>
  </si>
  <si>
    <t>Środki pieniężne netto z działalności operacyjnej</t>
  </si>
  <si>
    <t>Odsetki uzyskane</t>
  </si>
  <si>
    <t>Wpływy ze sprzedaży rzeczowych aktywów trwałych</t>
  </si>
  <si>
    <t>Dotacje do projektów rozwojowych</t>
  </si>
  <si>
    <t>Środki pieniężne netto z działalności inwestycyjnej</t>
  </si>
  <si>
    <t>Zaciągnięcie (spłata) kredytów i pożyczek</t>
  </si>
  <si>
    <t>Zaciągnięcie (spłata) zobowiązań z tytułu leasingu</t>
  </si>
  <si>
    <t>Skup akcji własnych</t>
  </si>
  <si>
    <t>Wypłacone dywidendy</t>
  </si>
  <si>
    <t>Środki pieniężne netto z działalności finansowej</t>
  </si>
  <si>
    <t>Zmiana stanu środków pieniężnych z działalności zaniechanej (działalność operacyjna)</t>
  </si>
  <si>
    <t>Podstawowe dane finansowe za lata obrotowe 2015/2016 - 2020/2021</t>
  </si>
  <si>
    <t>2019/20</t>
  </si>
  <si>
    <t>2018/19</t>
  </si>
  <si>
    <t>(30.09.2020)</t>
  </si>
  <si>
    <t>(30.06.2020)</t>
  </si>
  <si>
    <t>(31.03.2020)</t>
  </si>
  <si>
    <t>(31.12.2019)</t>
  </si>
  <si>
    <t>(30.09.2019)</t>
  </si>
  <si>
    <t xml:space="preserve"> (30.06.2019)</t>
  </si>
  <si>
    <t>(31.03.2019)</t>
  </si>
  <si>
    <t>2Q  (30.09.2020)</t>
  </si>
  <si>
    <t>1Q (30.06.2020)</t>
  </si>
  <si>
    <t>4Q* (31.03.2019)</t>
  </si>
  <si>
    <t>3Q (31.12.2019)</t>
  </si>
  <si>
    <t>2Q (30.09.2019)</t>
  </si>
  <si>
    <t>1Q (30.06.2019)</t>
  </si>
  <si>
    <t>1Q 2019/20</t>
  </si>
  <si>
    <t>2Q 2019/20</t>
  </si>
  <si>
    <t>3Q 2019/20</t>
  </si>
  <si>
    <t>4Q 2019/20</t>
  </si>
  <si>
    <t>(31.12.2020)</t>
  </si>
  <si>
    <t>Akcje własne</t>
  </si>
  <si>
    <t>3Q  (31.12.2020)</t>
  </si>
  <si>
    <t>1Q 2020/21</t>
  </si>
  <si>
    <t>2Q 2020/21</t>
  </si>
  <si>
    <t>3Q 2020/21</t>
  </si>
  <si>
    <t>4Q* (31.03.2020)</t>
  </si>
  <si>
    <t>Wydatki na nabycie jednostek zależnych</t>
  </si>
  <si>
    <t>Pozostałe zobowiązania dugoterminowe</t>
  </si>
  <si>
    <t>Udzielenie pożyczek</t>
  </si>
  <si>
    <t>Wpływy z podwyższenia kapitału spółki zależnej</t>
  </si>
  <si>
    <t>FY 2020/21</t>
  </si>
  <si>
    <t>FY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</si>
</sst>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;\(#,##0\)\ _z_ł"/>
    <numFmt numFmtId="165" formatCode="0.0"/>
  </numFmts>
  <fonts count="43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1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1"/>
      <color theme="0"/>
      <name val="Czcionka tekstu podstawowego"/>
      <charset val="238"/>
    </font>
    <font>
      <sz val="8"/>
      <color theme="0"/>
      <name val="Tahoma"/>
      <family val="2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theme="5" tint="0.39997558519241921"/>
      <name val="Czcionka tekstu podstawowego"/>
      <family val="2"/>
      <charset val="238"/>
    </font>
    <font>
      <b/>
      <sz val="11"/>
      <color theme="5" tint="0.39997558519241921"/>
      <name val="Czcionka tekstu podstawowego"/>
      <family val="2"/>
      <charset val="238"/>
    </font>
    <font>
      <i/>
      <sz val="8"/>
      <name val="Tahoma"/>
      <family val="2"/>
      <charset val="238"/>
    </font>
    <font>
      <sz val="8"/>
      <color rgb="FFC00000"/>
      <name val="Czcionka tekstu podstawowego"/>
      <family val="2"/>
      <charset val="238"/>
    </font>
    <font>
      <sz val="9"/>
      <color rgb="FFC00000"/>
      <name val="Czcionka tekstu podstawowego"/>
      <family val="2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0"/>
      <name val="Tahoma"/>
      <family val="2"/>
      <charset val="238"/>
    </font>
    <font>
      <i/>
      <sz val="8"/>
      <color theme="1"/>
      <name val="Czcionka tekstu podstawowego"/>
      <family val="2"/>
      <charset val="238"/>
    </font>
    <font>
      <sz val="8"/>
      <color theme="1"/>
      <name val="Ebrima"/>
      <charset val="238"/>
    </font>
    <font>
      <i/>
      <sz val="8"/>
      <color theme="1"/>
      <name val="Ebrima"/>
      <charset val="238"/>
    </font>
    <font>
      <sz val="8"/>
      <name val="Ebrima"/>
      <charset val="238"/>
    </font>
    <font>
      <i/>
      <sz val="8"/>
      <name val="Ebrima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2" borderId="0" xfId="0" applyFont="1" applyFill="1" applyAlignment="1" applyProtection="1"/>
    <xf numFmtId="0" fontId="0" fillId="2" borderId="0" xfId="0" applyFont="1" applyFill="1" applyAlignment="1"/>
    <xf numFmtId="0" fontId="3" fillId="2" borderId="0" xfId="0" applyFont="1" applyFill="1" applyBorder="1" applyAlignment="1" applyProtection="1"/>
    <xf numFmtId="0" fontId="4" fillId="2" borderId="0" xfId="0" applyFont="1" applyFill="1" applyAlignment="1" applyProtection="1"/>
    <xf numFmtId="0" fontId="4" fillId="2" borderId="0" xfId="0" applyFont="1" applyFill="1" applyAlignment="1"/>
    <xf numFmtId="0" fontId="5" fillId="2" borderId="0" xfId="0" applyFont="1" applyFill="1" applyAlignment="1" applyProtection="1"/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4" fillId="2" borderId="0" xfId="0" applyFont="1" applyFill="1"/>
    <xf numFmtId="0" fontId="11" fillId="2" borderId="0" xfId="0" applyFont="1" applyFill="1"/>
    <xf numFmtId="0" fontId="0" fillId="4" borderId="0" xfId="0" applyFill="1" applyAlignment="1">
      <alignment horizontal="left" vertical="center"/>
    </xf>
    <xf numFmtId="0" fontId="0" fillId="4" borderId="0" xfId="0" applyFill="1"/>
    <xf numFmtId="3" fontId="0" fillId="2" borderId="0" xfId="0" applyNumberFormat="1" applyFill="1"/>
    <xf numFmtId="164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4" fillId="4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0" fillId="0" borderId="1" xfId="0" applyFill="1" applyBorder="1"/>
    <xf numFmtId="164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/>
    <xf numFmtId="164" fontId="9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1" xfId="0" applyFont="1" applyFill="1" applyBorder="1"/>
    <xf numFmtId="3" fontId="9" fillId="0" borderId="8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18" fillId="2" borderId="0" xfId="0" applyFont="1" applyFill="1" applyAlignment="1"/>
    <xf numFmtId="0" fontId="23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0" borderId="0" xfId="0" applyFont="1" applyFill="1"/>
    <xf numFmtId="164" fontId="1" fillId="0" borderId="8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0" xfId="0" applyFont="1" applyFill="1" applyBorder="1"/>
    <xf numFmtId="164" fontId="20" fillId="0" borderId="8" xfId="0" applyNumberFormat="1" applyFont="1" applyFill="1" applyBorder="1" applyAlignment="1">
      <alignment horizontal="right" vertical="center" wrapText="1"/>
    </xf>
    <xf numFmtId="0" fontId="0" fillId="2" borderId="0" xfId="0" applyFill="1" applyAlignment="1"/>
    <xf numFmtId="0" fontId="29" fillId="2" borderId="0" xfId="0" applyFont="1" applyFill="1" applyAlignment="1"/>
    <xf numFmtId="0" fontId="30" fillId="2" borderId="0" xfId="0" applyFont="1" applyFill="1" applyAlignment="1"/>
    <xf numFmtId="0" fontId="31" fillId="2" borderId="0" xfId="0" applyFont="1" applyFill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9" fillId="0" borderId="14" xfId="0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 indent="1"/>
    </xf>
    <xf numFmtId="0" fontId="32" fillId="3" borderId="0" xfId="0" applyFont="1" applyFill="1"/>
    <xf numFmtId="0" fontId="19" fillId="3" borderId="0" xfId="0" applyFont="1" applyFill="1"/>
    <xf numFmtId="0" fontId="34" fillId="3" borderId="0" xfId="0" applyFont="1" applyFill="1"/>
    <xf numFmtId="0" fontId="0" fillId="3" borderId="0" xfId="0" applyFill="1" applyAlignment="1"/>
    <xf numFmtId="0" fontId="0" fillId="2" borderId="0" xfId="0" applyFill="1" applyBorder="1"/>
    <xf numFmtId="0" fontId="0" fillId="0" borderId="6" xfId="0" applyFill="1" applyBorder="1"/>
    <xf numFmtId="49" fontId="14" fillId="5" borderId="7" xfId="0" applyNumberFormat="1" applyFont="1" applyFill="1" applyBorder="1"/>
    <xf numFmtId="49" fontId="14" fillId="5" borderId="3" xfId="0" applyNumberFormat="1" applyFont="1" applyFill="1" applyBorder="1"/>
    <xf numFmtId="49" fontId="14" fillId="5" borderId="4" xfId="0" applyNumberFormat="1" applyFont="1" applyFill="1" applyBorder="1"/>
    <xf numFmtId="0" fontId="13" fillId="5" borderId="9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0" fillId="0" borderId="12" xfId="0" applyFill="1" applyBorder="1"/>
    <xf numFmtId="3" fontId="9" fillId="0" borderId="1" xfId="0" applyNumberFormat="1" applyFont="1" applyFill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/>
    <xf numFmtId="0" fontId="39" fillId="0" borderId="1" xfId="0" applyFont="1" applyBorder="1" applyAlignment="1">
      <alignment horizontal="right" vertical="center" wrapText="1"/>
    </xf>
    <xf numFmtId="0" fontId="39" fillId="0" borderId="8" xfId="0" applyFont="1" applyBorder="1" applyAlignment="1">
      <alignment horizontal="right" vertical="center"/>
    </xf>
    <xf numFmtId="0" fontId="39" fillId="0" borderId="1" xfId="0" applyFont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right" vertical="center" wrapText="1"/>
    </xf>
    <xf numFmtId="164" fontId="28" fillId="6" borderId="0" xfId="0" applyNumberFormat="1" applyFont="1" applyFill="1" applyBorder="1" applyAlignment="1">
      <alignment horizontal="right" vertical="center" wrapText="1"/>
    </xf>
    <xf numFmtId="3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3" fontId="19" fillId="6" borderId="1" xfId="0" applyNumberFormat="1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2" fontId="9" fillId="6" borderId="1" xfId="0" applyNumberFormat="1" applyFont="1" applyFill="1" applyBorder="1" applyAlignment="1">
      <alignment vertical="center"/>
    </xf>
    <xf numFmtId="2" fontId="9" fillId="6" borderId="12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3" fontId="9" fillId="6" borderId="1" xfId="0" applyNumberFormat="1" applyFont="1" applyFill="1" applyBorder="1"/>
    <xf numFmtId="3" fontId="8" fillId="6" borderId="11" xfId="0" applyNumberFormat="1" applyFont="1" applyFill="1" applyBorder="1" applyAlignment="1">
      <alignment horizontal="right" vertical="center" wrapText="1"/>
    </xf>
    <xf numFmtId="3" fontId="40" fillId="6" borderId="1" xfId="0" applyNumberFormat="1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40" fillId="6" borderId="1" xfId="0" applyFont="1" applyFill="1" applyBorder="1" applyAlignment="1">
      <alignment horizontal="right" vertical="center" wrapText="1"/>
    </xf>
    <xf numFmtId="3" fontId="39" fillId="6" borderId="1" xfId="0" applyNumberFormat="1" applyFont="1" applyFill="1" applyBorder="1" applyAlignment="1">
      <alignment horizontal="right" vertical="center" wrapText="1"/>
    </xf>
    <xf numFmtId="0" fontId="39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/>
    <xf numFmtId="0" fontId="8" fillId="6" borderId="12" xfId="0" applyFont="1" applyFill="1" applyBorder="1" applyAlignment="1">
      <alignment horizontal="right"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3" fontId="40" fillId="6" borderId="8" xfId="0" applyNumberFormat="1" applyFont="1" applyFill="1" applyBorder="1" applyAlignment="1">
      <alignment horizontal="right" vertical="center" wrapText="1"/>
    </xf>
    <xf numFmtId="0" fontId="40" fillId="6" borderId="8" xfId="0" applyFont="1" applyFill="1" applyBorder="1" applyAlignment="1">
      <alignment horizontal="right" vertical="center" wrapText="1"/>
    </xf>
    <xf numFmtId="0" fontId="38" fillId="6" borderId="8" xfId="0" applyFont="1" applyFill="1" applyBorder="1"/>
    <xf numFmtId="3" fontId="39" fillId="6" borderId="8" xfId="0" applyNumberFormat="1" applyFont="1" applyFill="1" applyBorder="1" applyAlignment="1">
      <alignment horizontal="right" vertical="center" wrapText="1"/>
    </xf>
    <xf numFmtId="0" fontId="39" fillId="6" borderId="8" xfId="0" applyFont="1" applyFill="1" applyBorder="1" applyAlignment="1">
      <alignment horizontal="right" vertical="center" wrapText="1"/>
    </xf>
    <xf numFmtId="3" fontId="8" fillId="6" borderId="9" xfId="0" applyNumberFormat="1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right" vertical="center" wrapText="1"/>
    </xf>
    <xf numFmtId="3" fontId="19" fillId="6" borderId="0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right" vertical="center" wrapText="1"/>
    </xf>
    <xf numFmtId="3" fontId="9" fillId="0" borderId="8" xfId="0" applyNumberFormat="1" applyFont="1" applyFill="1" applyBorder="1"/>
    <xf numFmtId="3" fontId="9" fillId="0" borderId="0" xfId="0" applyNumberFormat="1" applyFont="1" applyFill="1" applyBorder="1"/>
    <xf numFmtId="3" fontId="8" fillId="0" borderId="1" xfId="0" applyNumberFormat="1" applyFont="1" applyBorder="1" applyAlignment="1">
      <alignment horizontal="right" vertical="center" wrapText="1"/>
    </xf>
    <xf numFmtId="3" fontId="0" fillId="0" borderId="0" xfId="0" applyNumberFormat="1" applyFill="1" applyBorder="1"/>
    <xf numFmtId="3" fontId="9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/>
    <xf numFmtId="3" fontId="21" fillId="6" borderId="0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9" fillId="6" borderId="8" xfId="0" applyNumberFormat="1" applyFont="1" applyFill="1" applyBorder="1" applyAlignment="1">
      <alignment horizontal="right" vertical="center" wrapText="1"/>
    </xf>
    <xf numFmtId="0" fontId="19" fillId="6" borderId="8" xfId="0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right" vertical="center" wrapText="1"/>
    </xf>
    <xf numFmtId="164" fontId="21" fillId="6" borderId="8" xfId="0" applyNumberFormat="1" applyFont="1" applyFill="1" applyBorder="1" applyAlignment="1">
      <alignment horizontal="right" vertical="center" wrapText="1"/>
    </xf>
    <xf numFmtId="164" fontId="2" fillId="6" borderId="9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3" fontId="19" fillId="6" borderId="1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 wrapText="1"/>
    </xf>
    <xf numFmtId="2" fontId="9" fillId="6" borderId="0" xfId="0" applyNumberFormat="1" applyFont="1" applyFill="1" applyBorder="1" applyAlignment="1">
      <alignment horizontal="right" vertical="center" wrapText="1"/>
    </xf>
    <xf numFmtId="2" fontId="9" fillId="6" borderId="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2" fontId="9" fillId="6" borderId="1" xfId="0" applyNumberFormat="1" applyFont="1" applyFill="1" applyBorder="1" applyAlignment="1">
      <alignment horizontal="right" vertical="center" wrapText="1"/>
    </xf>
    <xf numFmtId="2" fontId="9" fillId="6" borderId="12" xfId="0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/>
    </xf>
    <xf numFmtId="3" fontId="9" fillId="6" borderId="12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 applyAlignment="1">
      <alignment horizontal="right" vertical="center" wrapText="1"/>
    </xf>
    <xf numFmtId="0" fontId="25" fillId="6" borderId="6" xfId="0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0" fontId="9" fillId="6" borderId="10" xfId="0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left" vertical="center" indent="3"/>
    </xf>
    <xf numFmtId="3" fontId="1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 wrapText="1"/>
    </xf>
    <xf numFmtId="0" fontId="8" fillId="6" borderId="8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3" fontId="21" fillId="6" borderId="8" xfId="0" applyNumberFormat="1" applyFont="1" applyFill="1" applyBorder="1" applyAlignment="1">
      <alignment horizontal="right" vertical="center" wrapText="1"/>
    </xf>
    <xf numFmtId="3" fontId="21" fillId="6" borderId="1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164" fontId="21" fillId="6" borderId="0" xfId="0" applyNumberFormat="1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right" vertical="center" wrapText="1"/>
    </xf>
    <xf numFmtId="4" fontId="21" fillId="6" borderId="0" xfId="0" applyNumberFormat="1" applyFont="1" applyFill="1" applyBorder="1" applyAlignment="1">
      <alignment horizontal="right" vertical="center" wrapText="1"/>
    </xf>
    <xf numFmtId="4" fontId="21" fillId="6" borderId="6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right" vertical="center" wrapText="1"/>
    </xf>
    <xf numFmtId="164" fontId="2" fillId="6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vertical="center"/>
    </xf>
    <xf numFmtId="3" fontId="9" fillId="6" borderId="0" xfId="0" applyNumberFormat="1" applyFont="1" applyFill="1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3" fontId="39" fillId="6" borderId="0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3" fontId="40" fillId="6" borderId="0" xfId="0" applyNumberFormat="1" applyFont="1" applyFill="1" applyBorder="1" applyAlignment="1">
      <alignment horizontal="right" vertical="center" wrapText="1"/>
    </xf>
    <xf numFmtId="0" fontId="40" fillId="6" borderId="0" xfId="0" applyFont="1" applyFill="1" applyBorder="1" applyAlignment="1">
      <alignment horizontal="right" vertical="center" wrapText="1"/>
    </xf>
    <xf numFmtId="0" fontId="38" fillId="6" borderId="0" xfId="0" applyFont="1" applyFill="1" applyBorder="1"/>
    <xf numFmtId="0" fontId="39" fillId="6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164" fontId="9" fillId="6" borderId="0" xfId="0" applyNumberFormat="1" applyFont="1" applyFill="1" applyBorder="1" applyAlignment="1">
      <alignment horizontal="right" vertical="center" wrapText="1"/>
    </xf>
    <xf numFmtId="164" fontId="19" fillId="6" borderId="0" xfId="0" applyNumberFormat="1" applyFont="1" applyFill="1" applyBorder="1" applyAlignment="1">
      <alignment horizontal="right" vertical="center" wrapText="1"/>
    </xf>
    <xf numFmtId="4" fontId="9" fillId="6" borderId="0" xfId="0" applyNumberFormat="1" applyFont="1" applyFill="1" applyBorder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3" fontId="21" fillId="6" borderId="0" xfId="0" applyNumberFormat="1" applyFont="1" applyFill="1" applyBorder="1" applyAlignment="1">
      <alignment vertical="center"/>
    </xf>
    <xf numFmtId="3" fontId="0" fillId="3" borderId="0" xfId="0" applyNumberFormat="1" applyFill="1"/>
    <xf numFmtId="3" fontId="32" fillId="6" borderId="8" xfId="0" applyNumberFormat="1" applyFont="1" applyFill="1" applyBorder="1" applyAlignment="1">
      <alignment horizontal="right" vertical="center" wrapText="1"/>
    </xf>
    <xf numFmtId="3" fontId="41" fillId="6" borderId="8" xfId="0" applyNumberFormat="1" applyFont="1" applyFill="1" applyBorder="1" applyAlignment="1">
      <alignment horizontal="right" vertical="center" wrapText="1"/>
    </xf>
    <xf numFmtId="0" fontId="41" fillId="0" borderId="8" xfId="0" applyFont="1" applyBorder="1" applyAlignment="1">
      <alignment horizontal="right" vertical="center" wrapText="1"/>
    </xf>
    <xf numFmtId="3" fontId="42" fillId="6" borderId="8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33" fillId="3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37" fillId="5" borderId="4" xfId="0" applyFont="1" applyFill="1" applyBorder="1"/>
    <xf numFmtId="0" fontId="31" fillId="2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8" xfId="0" applyFill="1" applyBorder="1"/>
    <xf numFmtId="0" fontId="0" fillId="0" borderId="13" xfId="0" applyFill="1" applyBorder="1"/>
    <xf numFmtId="165" fontId="0" fillId="0" borderId="6" xfId="0" applyNumberFormat="1" applyFill="1" applyBorder="1"/>
    <xf numFmtId="0" fontId="36" fillId="2" borderId="0" xfId="0" applyFont="1" applyFill="1" applyBorder="1" applyAlignment="1">
      <alignment horizontal="right"/>
    </xf>
    <xf numFmtId="0" fontId="35" fillId="2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0663464497768E-2"/>
          <c:y val="4.0336129645919601E-2"/>
          <c:w val="0.83628313259261566"/>
          <c:h val="0.76333555035865752"/>
        </c:manualLayout>
      </c:layout>
      <c:lineChart>
        <c:grouping val="standard"/>
        <c:varyColors val="0"/>
        <c:ser>
          <c:idx val="0"/>
          <c:order val="0"/>
          <c:tx>
            <c:strRef>
              <c:f>zamówienia!$B$10</c:f>
              <c:strCache>
                <c:ptCount val="1"/>
                <c:pt idx="0">
                  <c:v>FY 2020/21</c:v>
                </c:pt>
              </c:strCache>
            </c:strRef>
          </c:tx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63-4C7D-BB90-6356B186E167}"/>
              </c:ext>
            </c:extLst>
          </c:dPt>
          <c:dLbls>
            <c:dLbl>
              <c:idx val="11"/>
              <c:layout>
                <c:manualLayout>
                  <c:x val="-4.009737913195633E-2"/>
                  <c:y val="6.7449920258605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3-4C7D-BB90-6356B186E167}"/>
                </c:ext>
              </c:extLst>
            </c:dLbl>
            <c:dLbl>
              <c:idx val="13"/>
              <c:layout>
                <c:manualLayout>
                  <c:x val="-3.9284020862968234E-2"/>
                  <c:y val="6.1212403014086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3-4C7D-BB90-6356B186E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zamówienia!$C$9:$L$9</c:f>
              <c:strCache>
                <c:ptCount val="10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</c:strCache>
            </c:strRef>
          </c:cat>
          <c:val>
            <c:numRef>
              <c:f>zamówienia!$C$10:$L$10</c:f>
              <c:numCache>
                <c:formatCode>General</c:formatCode>
                <c:ptCount val="10"/>
                <c:pt idx="0">
                  <c:v>27.7</c:v>
                </c:pt>
                <c:pt idx="1">
                  <c:v>31.9</c:v>
                </c:pt>
                <c:pt idx="2">
                  <c:v>30.4</c:v>
                </c:pt>
                <c:pt idx="3">
                  <c:v>36.799999999999997</c:v>
                </c:pt>
                <c:pt idx="4">
                  <c:v>35.700000000000003</c:v>
                </c:pt>
                <c:pt idx="5">
                  <c:v>38.299999999999997</c:v>
                </c:pt>
                <c:pt idx="6">
                  <c:v>31.9</c:v>
                </c:pt>
                <c:pt idx="7">
                  <c:v>29.3</c:v>
                </c:pt>
                <c:pt idx="8">
                  <c:v>47.6</c:v>
                </c:pt>
                <c:pt idx="9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63-4C7D-BB90-6356B186E167}"/>
            </c:ext>
          </c:extLst>
        </c:ser>
        <c:ser>
          <c:idx val="1"/>
          <c:order val="1"/>
          <c:tx>
            <c:strRef>
              <c:f>zamówienia!$B$11</c:f>
              <c:strCache>
                <c:ptCount val="1"/>
                <c:pt idx="0">
                  <c:v>FY 2019/20</c:v>
                </c:pt>
              </c:strCache>
            </c:strRef>
          </c:tx>
          <c:dLbls>
            <c:dLbl>
              <c:idx val="11"/>
              <c:layout>
                <c:manualLayout>
                  <c:x val="-3.658426095947493E-2"/>
                  <c:y val="-5.1878964720690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3-4C7D-BB90-6356B186E167}"/>
                </c:ext>
              </c:extLst>
            </c:dLbl>
            <c:dLbl>
              <c:idx val="13"/>
              <c:layout>
                <c:manualLayout>
                  <c:x val="-2.9386058250542295E-2"/>
                  <c:y val="-6.5884206948407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3-4C7D-BB90-6356B186E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zamówienia!$C$9:$L$9</c:f>
              <c:strCache>
                <c:ptCount val="10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</c:strCache>
            </c:strRef>
          </c:cat>
          <c:val>
            <c:numRef>
              <c:f>zamówienia!$C$11:$L$11</c:f>
              <c:numCache>
                <c:formatCode>General</c:formatCode>
                <c:ptCount val="10"/>
                <c:pt idx="0">
                  <c:v>43.3</c:v>
                </c:pt>
                <c:pt idx="1">
                  <c:v>30.9</c:v>
                </c:pt>
                <c:pt idx="2">
                  <c:v>35.9</c:v>
                </c:pt>
                <c:pt idx="3">
                  <c:v>38.799999999999997</c:v>
                </c:pt>
                <c:pt idx="4">
                  <c:v>26.5</c:v>
                </c:pt>
                <c:pt idx="5">
                  <c:v>34.700000000000003</c:v>
                </c:pt>
                <c:pt idx="6" formatCode="0.0">
                  <c:v>42.6</c:v>
                </c:pt>
                <c:pt idx="7">
                  <c:v>26.9</c:v>
                </c:pt>
                <c:pt idx="8">
                  <c:v>24.9</c:v>
                </c:pt>
                <c:pt idx="9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63-4C7D-BB90-6356B186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17472"/>
        <c:axId val="440016296"/>
      </c:lineChart>
      <c:catAx>
        <c:axId val="44001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0016296"/>
        <c:crosses val="autoZero"/>
        <c:auto val="1"/>
        <c:lblAlgn val="ctr"/>
        <c:lblOffset val="100"/>
        <c:noMultiLvlLbl val="0"/>
      </c:catAx>
      <c:valAx>
        <c:axId val="440016296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crossAx val="4400174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74558337158532"/>
          <c:y val="0.55654574185978689"/>
          <c:w val="0.22435071737109094"/>
          <c:h val="0.186517460511234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918291</xdr:colOff>
      <xdr:row>1</xdr:row>
      <xdr:rowOff>173935</xdr:rowOff>
    </xdr:from>
    <xdr:to>
      <xdr:col>0</xdr:col>
      <xdr:colOff>4042742</xdr:colOff>
      <xdr:row>1</xdr:row>
      <xdr:rowOff>1051892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91" y="356152"/>
          <a:ext cx="3124451" cy="877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15875</xdr:rowOff>
    </xdr:from>
    <xdr:to>
      <xdr:col>1</xdr:col>
      <xdr:colOff>2389186</xdr:colOff>
      <xdr:row>1</xdr:row>
      <xdr:rowOff>1588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5875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2381249</xdr:colOff>
      <xdr:row>1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2400299</xdr:colOff>
      <xdr:row>0</xdr:row>
      <xdr:rowOff>741363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05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0</xdr:colOff>
      <xdr:row>1</xdr:row>
      <xdr:rowOff>142875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29622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2552700</xdr:colOff>
      <xdr:row>13</xdr:row>
      <xdr:rowOff>0</xdr:rowOff>
    </xdr:from>
    <xdr:to>
      <xdr:col>12</xdr:col>
      <xdr:colOff>200025</xdr:colOff>
      <xdr:row>33</xdr:row>
      <xdr:rowOff>66675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7"/>
  <sheetViews>
    <sheetView zoomScale="115" zoomScaleNormal="115" workbookViewId="0">
      <selection activeCell="E9" sqref="E9"/>
    </sheetView>
  </sheetViews>
  <sheetFormatPr defaultColWidth="9" defaultRowHeight="14.25"/>
  <cols>
    <col min="1" max="1" width="71.875" style="10" customWidth="1"/>
    <col min="2" max="16384" width="9" style="10"/>
  </cols>
  <sheetData>
    <row r="1" spans="1:1">
      <c r="A1" s="7"/>
    </row>
    <row r="2" spans="1:1" ht="86.25" customHeight="1">
      <c r="A2" s="26"/>
    </row>
    <row r="3" spans="1:1" ht="22.5">
      <c r="A3" s="8"/>
    </row>
    <row r="4" spans="1:1" ht="30">
      <c r="A4" s="9" t="s">
        <v>128</v>
      </c>
    </row>
    <row r="5" spans="1:1">
      <c r="A5" s="7"/>
    </row>
    <row r="6" spans="1:1">
      <c r="A6" s="7"/>
    </row>
    <row r="7" spans="1:1">
      <c r="A7" s="7"/>
    </row>
    <row r="8" spans="1:1">
      <c r="A8" s="7"/>
    </row>
    <row r="9" spans="1:1" ht="15">
      <c r="A9" s="27" t="s">
        <v>13</v>
      </c>
    </row>
    <row r="10" spans="1:1">
      <c r="A10" s="7"/>
    </row>
    <row r="11" spans="1:1">
      <c r="A11" s="7"/>
    </row>
    <row r="12" spans="1:1">
      <c r="A12" s="7"/>
    </row>
    <row r="16" spans="1:1" ht="13.5" customHeight="1"/>
    <row r="17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zoomScale="107" zoomScaleNormal="107" workbookViewId="0">
      <pane xSplit="2" ySplit="6" topLeftCell="C58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ColWidth="9" defaultRowHeight="14.25"/>
  <cols>
    <col min="1" max="1" width="3.25" style="10" customWidth="1"/>
    <col min="2" max="2" width="31.5" style="10" customWidth="1"/>
    <col min="3" max="3" width="9.125" style="10" bestFit="1" customWidth="1"/>
    <col min="4" max="5" width="9.375" style="10" bestFit="1" customWidth="1"/>
    <col min="6" max="6" width="11.375" style="10" customWidth="1"/>
    <col min="7" max="7" width="12.625" style="10" customWidth="1"/>
    <col min="8" max="11" width="9.75" style="10" bestFit="1" customWidth="1"/>
    <col min="12" max="12" width="10.25" style="10" customWidth="1"/>
    <col min="13" max="15" width="9.75" style="10" customWidth="1"/>
    <col min="16" max="16384" width="9" style="10"/>
  </cols>
  <sheetData>
    <row r="1" spans="1:15" ht="58.5" customHeight="1">
      <c r="A1" s="7"/>
      <c r="B1" s="17"/>
      <c r="C1" s="18"/>
      <c r="D1" s="18"/>
      <c r="E1" s="18"/>
      <c r="F1" s="265" t="s">
        <v>2</v>
      </c>
      <c r="G1" s="265"/>
      <c r="H1" s="265"/>
      <c r="I1" s="265"/>
      <c r="J1" s="18"/>
      <c r="K1" s="18"/>
      <c r="L1" s="18"/>
      <c r="M1" s="18"/>
      <c r="N1" s="18"/>
      <c r="O1" s="18"/>
    </row>
    <row r="2" spans="1:15">
      <c r="A2" s="7"/>
      <c r="B2" s="11"/>
      <c r="C2" s="38"/>
      <c r="D2" s="58"/>
      <c r="E2" s="58"/>
      <c r="F2" s="58"/>
      <c r="G2" s="58"/>
      <c r="H2" s="7"/>
      <c r="I2" s="7"/>
      <c r="J2" s="7"/>
      <c r="K2" s="7"/>
      <c r="L2" s="7"/>
      <c r="M2" s="7"/>
      <c r="N2" s="7"/>
      <c r="O2" s="7"/>
    </row>
    <row r="3" spans="1:15">
      <c r="A3" s="7"/>
      <c r="B3" s="11"/>
      <c r="C3" s="7"/>
      <c r="D3" s="7"/>
      <c r="E3" s="79"/>
      <c r="F3" s="81" t="s">
        <v>13</v>
      </c>
      <c r="G3" s="80"/>
      <c r="H3" s="80"/>
      <c r="I3" s="80"/>
      <c r="J3" s="80"/>
      <c r="K3" s="80"/>
      <c r="L3" s="7"/>
      <c r="M3" s="7"/>
      <c r="N3" s="7"/>
      <c r="O3" s="7"/>
    </row>
    <row r="4" spans="1:15" ht="15" thickBot="1">
      <c r="A4" s="7"/>
      <c r="B4" s="3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4.95" customHeight="1" thickBot="1">
      <c r="A5" s="7"/>
      <c r="B5" s="260" t="s">
        <v>7</v>
      </c>
      <c r="C5" s="262" t="s">
        <v>6</v>
      </c>
      <c r="D5" s="263"/>
      <c r="E5" s="263"/>
      <c r="F5" s="263"/>
      <c r="G5" s="264"/>
      <c r="H5" s="266" t="s">
        <v>94</v>
      </c>
      <c r="I5" s="267"/>
      <c r="J5" s="267"/>
      <c r="K5" s="267"/>
      <c r="L5" s="267"/>
      <c r="M5" s="267"/>
      <c r="N5" s="267"/>
      <c r="O5" s="268"/>
    </row>
    <row r="6" spans="1:15" ht="24.95" customHeight="1" thickBot="1">
      <c r="A6" s="7"/>
      <c r="B6" s="261"/>
      <c r="C6" s="208" t="s">
        <v>10</v>
      </c>
      <c r="D6" s="209" t="s">
        <v>9</v>
      </c>
      <c r="E6" s="209" t="s">
        <v>8</v>
      </c>
      <c r="F6" s="209" t="s">
        <v>130</v>
      </c>
      <c r="G6" s="210" t="s">
        <v>129</v>
      </c>
      <c r="H6" s="104" t="s">
        <v>137</v>
      </c>
      <c r="I6" s="103" t="s">
        <v>136</v>
      </c>
      <c r="J6" s="103" t="s">
        <v>135</v>
      </c>
      <c r="K6" s="103" t="s">
        <v>134</v>
      </c>
      <c r="L6" s="103" t="s">
        <v>133</v>
      </c>
      <c r="M6" s="103" t="s">
        <v>132</v>
      </c>
      <c r="N6" s="225" t="s">
        <v>131</v>
      </c>
      <c r="O6" s="105" t="s">
        <v>148</v>
      </c>
    </row>
    <row r="7" spans="1:15" ht="20.100000000000001" customHeight="1">
      <c r="A7" s="12"/>
      <c r="B7" s="74" t="s">
        <v>54</v>
      </c>
      <c r="C7" s="52"/>
      <c r="D7" s="24"/>
      <c r="E7" s="24"/>
      <c r="F7" s="24"/>
      <c r="G7" s="112"/>
      <c r="H7" s="52"/>
      <c r="I7" s="24"/>
      <c r="J7" s="232"/>
      <c r="K7" s="233"/>
      <c r="L7" s="24"/>
      <c r="M7" s="24"/>
      <c r="N7" s="24"/>
      <c r="O7" s="112"/>
    </row>
    <row r="8" spans="1:15" ht="20.100000000000001" customHeight="1">
      <c r="A8" s="13"/>
      <c r="B8" s="72" t="s">
        <v>39</v>
      </c>
      <c r="C8" s="39"/>
      <c r="D8" s="22"/>
      <c r="E8" s="88"/>
      <c r="F8" s="152"/>
      <c r="G8" s="157"/>
      <c r="H8" s="234"/>
      <c r="I8" s="88"/>
      <c r="J8" s="154"/>
      <c r="K8" s="233"/>
      <c r="L8" s="88"/>
      <c r="M8" s="88"/>
      <c r="N8" s="88"/>
      <c r="O8" s="235"/>
    </row>
    <row r="9" spans="1:15" ht="20.100000000000001" customHeight="1">
      <c r="A9" s="13"/>
      <c r="B9" s="73" t="s">
        <v>40</v>
      </c>
      <c r="C9" s="166">
        <v>47371</v>
      </c>
      <c r="D9" s="128">
        <v>47371</v>
      </c>
      <c r="E9" s="128">
        <v>54523</v>
      </c>
      <c r="F9" s="128">
        <v>48673</v>
      </c>
      <c r="G9" s="126">
        <v>50660</v>
      </c>
      <c r="H9" s="128">
        <v>48673</v>
      </c>
      <c r="I9" s="158">
        <f>55554-6881-575</f>
        <v>48098</v>
      </c>
      <c r="J9" s="158">
        <f>55554-6881+500-1111</f>
        <v>48062</v>
      </c>
      <c r="K9" s="158">
        <f>55554-6881-119-278</f>
        <v>48276</v>
      </c>
      <c r="L9" s="128">
        <v>50660</v>
      </c>
      <c r="M9" s="158">
        <f>56889-6229</f>
        <v>50660</v>
      </c>
      <c r="N9" s="175">
        <v>50268</v>
      </c>
      <c r="O9" s="120">
        <v>51234</v>
      </c>
    </row>
    <row r="10" spans="1:15" ht="20.100000000000001" customHeight="1">
      <c r="A10" s="13"/>
      <c r="B10" s="73" t="s">
        <v>41</v>
      </c>
      <c r="C10" s="166">
        <v>22228</v>
      </c>
      <c r="D10" s="128">
        <v>30147</v>
      </c>
      <c r="E10" s="128">
        <v>37648</v>
      </c>
      <c r="F10" s="128">
        <v>25635</v>
      </c>
      <c r="G10" s="126">
        <v>25313</v>
      </c>
      <c r="H10" s="128">
        <v>25635</v>
      </c>
      <c r="I10" s="158">
        <f>41789-16695</f>
        <v>25094</v>
      </c>
      <c r="J10" s="158">
        <f>42331-16695</f>
        <v>25636</v>
      </c>
      <c r="K10" s="158">
        <f>42737-16695</f>
        <v>26042</v>
      </c>
      <c r="L10" s="128">
        <v>25313</v>
      </c>
      <c r="M10" s="158">
        <f>43316-19025</f>
        <v>24291</v>
      </c>
      <c r="N10" s="175">
        <v>24555</v>
      </c>
      <c r="O10" s="120">
        <v>24490</v>
      </c>
    </row>
    <row r="11" spans="1:15" ht="20.100000000000001" customHeight="1">
      <c r="A11" s="12"/>
      <c r="B11" s="73" t="s">
        <v>42</v>
      </c>
      <c r="C11" s="166">
        <v>48347</v>
      </c>
      <c r="D11" s="128">
        <v>65458</v>
      </c>
      <c r="E11" s="128">
        <v>65238</v>
      </c>
      <c r="F11" s="128">
        <v>29130</v>
      </c>
      <c r="G11" s="126">
        <v>36753</v>
      </c>
      <c r="H11" s="128">
        <v>29130</v>
      </c>
      <c r="I11" s="158">
        <f>75360+1694-35062+300</f>
        <v>42292</v>
      </c>
      <c r="J11" s="158">
        <f>66162+1857-22333+650-5000</f>
        <v>41336</v>
      </c>
      <c r="K11" s="254">
        <f>65252+2750-22549+1103-5000</f>
        <v>41556</v>
      </c>
      <c r="L11" s="128">
        <v>36753</v>
      </c>
      <c r="M11" s="158">
        <f>64696-31722+4034</f>
        <v>37008</v>
      </c>
      <c r="N11" s="175">
        <v>41934</v>
      </c>
      <c r="O11" s="120">
        <v>44355</v>
      </c>
    </row>
    <row r="12" spans="1:15" ht="20.100000000000001" customHeight="1">
      <c r="A12" s="12"/>
      <c r="B12" s="199" t="s">
        <v>108</v>
      </c>
      <c r="C12" s="197">
        <v>0</v>
      </c>
      <c r="D12" s="128">
        <v>0</v>
      </c>
      <c r="E12" s="128">
        <v>0</v>
      </c>
      <c r="F12" s="128">
        <v>35062</v>
      </c>
      <c r="G12" s="126">
        <v>41792</v>
      </c>
      <c r="H12" s="128">
        <v>35062</v>
      </c>
      <c r="I12" s="158">
        <f>35062-300</f>
        <v>34762</v>
      </c>
      <c r="J12" s="158">
        <f>12729+22333-650+5000</f>
        <v>39412</v>
      </c>
      <c r="K12" s="158">
        <f>12513+22549-1103+5000</f>
        <v>38959</v>
      </c>
      <c r="L12" s="128">
        <v>41792</v>
      </c>
      <c r="M12" s="158">
        <f>10254+31722</f>
        <v>41976</v>
      </c>
      <c r="N12" s="128">
        <v>45908</v>
      </c>
      <c r="O12" s="126">
        <v>46711</v>
      </c>
    </row>
    <row r="13" spans="1:15" ht="21.75" customHeight="1">
      <c r="A13" s="13"/>
      <c r="B13" s="73" t="s">
        <v>43</v>
      </c>
      <c r="C13" s="166">
        <v>6935</v>
      </c>
      <c r="D13" s="128">
        <v>4107</v>
      </c>
      <c r="E13" s="128">
        <v>4447</v>
      </c>
      <c r="F13" s="128">
        <v>4040</v>
      </c>
      <c r="G13" s="126">
        <v>3125</v>
      </c>
      <c r="H13" s="128">
        <v>4040</v>
      </c>
      <c r="I13" s="158">
        <f>3694</f>
        <v>3694</v>
      </c>
      <c r="J13" s="174">
        <f>3570</f>
        <v>3570</v>
      </c>
      <c r="K13" s="254">
        <f>3052</f>
        <v>3052</v>
      </c>
      <c r="L13" s="128">
        <v>3125</v>
      </c>
      <c r="M13" s="158">
        <f>2866</f>
        <v>2866</v>
      </c>
      <c r="N13" s="175">
        <v>2520</v>
      </c>
      <c r="O13" s="120">
        <v>2591</v>
      </c>
    </row>
    <row r="14" spans="1:15" ht="21.75" customHeight="1">
      <c r="A14" s="13"/>
      <c r="B14" s="73" t="s">
        <v>47</v>
      </c>
      <c r="C14" s="166">
        <v>0</v>
      </c>
      <c r="D14" s="128">
        <v>0</v>
      </c>
      <c r="E14" s="128">
        <v>34</v>
      </c>
      <c r="F14" s="128">
        <v>46</v>
      </c>
      <c r="G14" s="126">
        <v>49</v>
      </c>
      <c r="H14" s="128">
        <v>46</v>
      </c>
      <c r="I14" s="174">
        <f>46</f>
        <v>46</v>
      </c>
      <c r="J14" s="174">
        <v>57</v>
      </c>
      <c r="K14" s="175">
        <v>57</v>
      </c>
      <c r="L14" s="128">
        <v>49</v>
      </c>
      <c r="M14" s="158">
        <v>54</v>
      </c>
      <c r="N14" s="128">
        <v>57</v>
      </c>
      <c r="O14" s="126">
        <v>80</v>
      </c>
    </row>
    <row r="15" spans="1:15" ht="20.100000000000001" customHeight="1" thickBot="1">
      <c r="A15" s="12"/>
      <c r="B15" s="73" t="s">
        <v>44</v>
      </c>
      <c r="C15" s="166">
        <v>9335</v>
      </c>
      <c r="D15" s="128">
        <v>8405</v>
      </c>
      <c r="E15" s="128">
        <v>13182</v>
      </c>
      <c r="F15" s="128">
        <v>8703</v>
      </c>
      <c r="G15" s="126">
        <v>8692</v>
      </c>
      <c r="H15" s="128">
        <v>8703</v>
      </c>
      <c r="I15" s="158">
        <f>15154-4793-1694</f>
        <v>8667</v>
      </c>
      <c r="J15" s="158">
        <f>15507-4995-1857</f>
        <v>8655</v>
      </c>
      <c r="K15" s="254">
        <f>16342-5201-2750</f>
        <v>8391</v>
      </c>
      <c r="L15" s="190">
        <v>8692</v>
      </c>
      <c r="M15" s="158">
        <f>18161-5618-4034</f>
        <v>8509</v>
      </c>
      <c r="N15" s="175">
        <v>7704</v>
      </c>
      <c r="O15" s="120">
        <v>8278</v>
      </c>
    </row>
    <row r="16" spans="1:15" ht="20.100000000000001" customHeight="1" thickBot="1">
      <c r="A16" s="13"/>
      <c r="B16" s="49"/>
      <c r="C16" s="145">
        <f>SUM(C9:C15)</f>
        <v>134216</v>
      </c>
      <c r="D16" s="129">
        <f t="shared" ref="D16:O16" si="0">SUM(D9:D15)</f>
        <v>155488</v>
      </c>
      <c r="E16" s="129">
        <f t="shared" si="0"/>
        <v>175072</v>
      </c>
      <c r="F16" s="129">
        <f t="shared" si="0"/>
        <v>151289</v>
      </c>
      <c r="G16" s="129">
        <f t="shared" si="0"/>
        <v>166384</v>
      </c>
      <c r="H16" s="145">
        <f t="shared" si="0"/>
        <v>151289</v>
      </c>
      <c r="I16" s="129">
        <f t="shared" si="0"/>
        <v>162653</v>
      </c>
      <c r="J16" s="129">
        <f t="shared" si="0"/>
        <v>166728</v>
      </c>
      <c r="K16" s="129">
        <f t="shared" si="0"/>
        <v>166333</v>
      </c>
      <c r="L16" s="129">
        <f t="shared" si="0"/>
        <v>166384</v>
      </c>
      <c r="M16" s="129">
        <f t="shared" si="0"/>
        <v>165364</v>
      </c>
      <c r="N16" s="129">
        <f t="shared" ref="N16" si="1">SUM(N9:N15)</f>
        <v>172946</v>
      </c>
      <c r="O16" s="131">
        <f t="shared" si="0"/>
        <v>177739</v>
      </c>
    </row>
    <row r="17" spans="1:15" ht="20.100000000000001" customHeight="1">
      <c r="A17" s="13"/>
      <c r="B17" s="74"/>
      <c r="C17" s="218"/>
      <c r="D17" s="219"/>
      <c r="E17" s="236"/>
      <c r="F17" s="236"/>
      <c r="G17" s="237"/>
      <c r="H17" s="238"/>
      <c r="I17" s="24"/>
      <c r="J17" s="24"/>
      <c r="K17" s="24"/>
      <c r="L17" s="239"/>
      <c r="M17" s="239"/>
      <c r="N17" s="239"/>
      <c r="O17" s="240"/>
    </row>
    <row r="18" spans="1:15" ht="20.100000000000001" customHeight="1">
      <c r="A18" s="13"/>
      <c r="B18" s="72" t="s">
        <v>45</v>
      </c>
      <c r="C18" s="44"/>
      <c r="D18" s="40"/>
      <c r="E18" s="152"/>
      <c r="F18" s="239"/>
      <c r="G18" s="240"/>
      <c r="H18" s="238"/>
      <c r="I18" s="88"/>
      <c r="J18" s="88"/>
      <c r="K18" s="88"/>
      <c r="L18" s="152"/>
      <c r="M18" s="152"/>
      <c r="N18" s="230"/>
      <c r="O18" s="102"/>
    </row>
    <row r="19" spans="1:15" ht="20.100000000000001" customHeight="1">
      <c r="A19" s="13"/>
      <c r="B19" s="73" t="s">
        <v>46</v>
      </c>
      <c r="C19" s="166">
        <v>29377</v>
      </c>
      <c r="D19" s="128">
        <v>36790</v>
      </c>
      <c r="E19" s="128">
        <v>41876</v>
      </c>
      <c r="F19" s="128">
        <v>45502</v>
      </c>
      <c r="G19" s="126">
        <v>41782</v>
      </c>
      <c r="H19" s="128">
        <v>45502</v>
      </c>
      <c r="I19" s="158">
        <f>45968-2041</f>
        <v>43927</v>
      </c>
      <c r="J19" s="158">
        <f>44339-2041</f>
        <v>42298</v>
      </c>
      <c r="K19" s="254">
        <f>42359-2041</f>
        <v>40318</v>
      </c>
      <c r="L19" s="128">
        <v>41782</v>
      </c>
      <c r="M19" s="158">
        <f>46942-2498</f>
        <v>44444</v>
      </c>
      <c r="N19" s="128">
        <v>41987</v>
      </c>
      <c r="O19" s="126">
        <v>43389</v>
      </c>
    </row>
    <row r="20" spans="1:15" ht="20.100000000000001" customHeight="1">
      <c r="A20" s="13"/>
      <c r="B20" s="73" t="s">
        <v>47</v>
      </c>
      <c r="C20" s="166">
        <v>12</v>
      </c>
      <c r="D20" s="128">
        <v>111</v>
      </c>
      <c r="E20" s="128">
        <v>23</v>
      </c>
      <c r="F20" s="128">
        <v>6</v>
      </c>
      <c r="G20" s="126">
        <v>0</v>
      </c>
      <c r="H20" s="128">
        <v>6</v>
      </c>
      <c r="I20" s="158">
        <v>4</v>
      </c>
      <c r="J20" s="174">
        <v>0</v>
      </c>
      <c r="K20" s="175">
        <v>0</v>
      </c>
      <c r="L20" s="128">
        <v>0</v>
      </c>
      <c r="M20" s="128">
        <v>0</v>
      </c>
      <c r="N20" s="128">
        <v>0</v>
      </c>
      <c r="O20" s="126">
        <v>0</v>
      </c>
    </row>
    <row r="21" spans="1:15" ht="20.100000000000001" customHeight="1">
      <c r="A21" s="12"/>
      <c r="B21" s="73" t="s">
        <v>48</v>
      </c>
      <c r="C21" s="166">
        <v>75543</v>
      </c>
      <c r="D21" s="128">
        <v>79806</v>
      </c>
      <c r="E21" s="128">
        <v>84349</v>
      </c>
      <c r="F21" s="128">
        <v>102687</v>
      </c>
      <c r="G21" s="126">
        <v>97070</v>
      </c>
      <c r="H21" s="128">
        <v>102687</v>
      </c>
      <c r="I21" s="174">
        <f>98518</f>
        <v>98518</v>
      </c>
      <c r="J21" s="174">
        <f>103672</f>
        <v>103672</v>
      </c>
      <c r="K21" s="175">
        <f>103019</f>
        <v>103019</v>
      </c>
      <c r="L21" s="128">
        <v>97070</v>
      </c>
      <c r="M21" s="128">
        <f>92610</f>
        <v>92610</v>
      </c>
      <c r="N21" s="175">
        <v>90482</v>
      </c>
      <c r="O21" s="120">
        <v>79904</v>
      </c>
    </row>
    <row r="22" spans="1:15" ht="20.100000000000001" customHeight="1">
      <c r="A22" s="12"/>
      <c r="B22" s="83" t="s">
        <v>88</v>
      </c>
      <c r="C22" s="166">
        <v>36</v>
      </c>
      <c r="D22" s="128">
        <v>59</v>
      </c>
      <c r="E22" s="128">
        <v>52</v>
      </c>
      <c r="F22" s="128">
        <v>5</v>
      </c>
      <c r="G22" s="126">
        <v>48</v>
      </c>
      <c r="H22" s="128">
        <v>5</v>
      </c>
      <c r="I22" s="174">
        <v>13</v>
      </c>
      <c r="J22" s="128">
        <v>1</v>
      </c>
      <c r="K22" s="175">
        <f>17</f>
        <v>17</v>
      </c>
      <c r="L22" s="128">
        <v>48</v>
      </c>
      <c r="M22" s="128">
        <v>0</v>
      </c>
      <c r="N22" s="175">
        <v>17</v>
      </c>
      <c r="O22" s="120">
        <v>0</v>
      </c>
    </row>
    <row r="23" spans="1:15" ht="20.100000000000001" customHeight="1">
      <c r="A23" s="13"/>
      <c r="B23" s="83" t="s">
        <v>49</v>
      </c>
      <c r="C23" s="166">
        <v>6408</v>
      </c>
      <c r="D23" s="128">
        <v>400</v>
      </c>
      <c r="E23" s="128">
        <v>422</v>
      </c>
      <c r="F23" s="128">
        <v>433</v>
      </c>
      <c r="G23" s="126">
        <v>1333</v>
      </c>
      <c r="H23" s="128">
        <v>433</v>
      </c>
      <c r="I23" s="174">
        <v>764</v>
      </c>
      <c r="J23" s="174">
        <f>988</f>
        <v>988</v>
      </c>
      <c r="K23" s="175">
        <f>1342</f>
        <v>1342</v>
      </c>
      <c r="L23" s="128">
        <v>1333</v>
      </c>
      <c r="M23" s="128">
        <f>1265</f>
        <v>1265</v>
      </c>
      <c r="N23" s="128">
        <v>914</v>
      </c>
      <c r="O23" s="126">
        <v>891</v>
      </c>
    </row>
    <row r="24" spans="1:15" ht="20.100000000000001" customHeight="1">
      <c r="A24" s="13"/>
      <c r="B24" s="73" t="s">
        <v>50</v>
      </c>
      <c r="C24" s="166">
        <v>2253</v>
      </c>
      <c r="D24" s="192">
        <v>1841</v>
      </c>
      <c r="E24" s="128">
        <v>1816</v>
      </c>
      <c r="F24" s="128">
        <v>1699</v>
      </c>
      <c r="G24" s="126">
        <v>1918</v>
      </c>
      <c r="H24" s="128">
        <v>1699</v>
      </c>
      <c r="I24" s="128">
        <v>1529</v>
      </c>
      <c r="J24" s="128">
        <f>1215</f>
        <v>1215</v>
      </c>
      <c r="K24" s="128">
        <f>814</f>
        <v>814</v>
      </c>
      <c r="L24" s="128">
        <v>1918</v>
      </c>
      <c r="M24" s="128">
        <f>1840</f>
        <v>1840</v>
      </c>
      <c r="N24" s="128">
        <v>1680</v>
      </c>
      <c r="O24" s="126">
        <v>1576</v>
      </c>
    </row>
    <row r="25" spans="1:15" ht="20.100000000000001" customHeight="1" thickBot="1">
      <c r="A25" s="13"/>
      <c r="B25" s="73" t="s">
        <v>51</v>
      </c>
      <c r="C25" s="166">
        <v>6771</v>
      </c>
      <c r="D25" s="128">
        <v>11108</v>
      </c>
      <c r="E25" s="128">
        <v>12664</v>
      </c>
      <c r="F25" s="128">
        <v>13523</v>
      </c>
      <c r="G25" s="126">
        <v>12754</v>
      </c>
      <c r="H25" s="128">
        <v>13523</v>
      </c>
      <c r="I25" s="174">
        <v>14084</v>
      </c>
      <c r="J25" s="174">
        <f>14921</f>
        <v>14921</v>
      </c>
      <c r="K25" s="175">
        <f>12855</f>
        <v>12855</v>
      </c>
      <c r="L25" s="190">
        <v>12754</v>
      </c>
      <c r="M25" s="128">
        <f>23691</f>
        <v>23691</v>
      </c>
      <c r="N25" s="128">
        <v>30439</v>
      </c>
      <c r="O25" s="126">
        <v>27342</v>
      </c>
    </row>
    <row r="26" spans="1:15" ht="20.100000000000001" customHeight="1" thickBot="1">
      <c r="A26" s="13"/>
      <c r="B26" s="214"/>
      <c r="C26" s="215">
        <f>SUM(C19:C25)</f>
        <v>120400</v>
      </c>
      <c r="D26" s="216">
        <f t="shared" ref="D26:O26" si="2">SUM(D19:D25)</f>
        <v>130115</v>
      </c>
      <c r="E26" s="216">
        <f t="shared" si="2"/>
        <v>141202</v>
      </c>
      <c r="F26" s="216">
        <f t="shared" si="2"/>
        <v>163855</v>
      </c>
      <c r="G26" s="217">
        <f t="shared" si="2"/>
        <v>154905</v>
      </c>
      <c r="H26" s="215">
        <f t="shared" si="2"/>
        <v>163855</v>
      </c>
      <c r="I26" s="216">
        <f t="shared" si="2"/>
        <v>158839</v>
      </c>
      <c r="J26" s="216">
        <f t="shared" si="2"/>
        <v>163095</v>
      </c>
      <c r="K26" s="216">
        <f t="shared" si="2"/>
        <v>158365</v>
      </c>
      <c r="L26" s="216">
        <f t="shared" si="2"/>
        <v>154905</v>
      </c>
      <c r="M26" s="216">
        <f t="shared" si="2"/>
        <v>163850</v>
      </c>
      <c r="N26" s="216">
        <f t="shared" ref="N26" si="3">SUM(N19:N25)</f>
        <v>165519</v>
      </c>
      <c r="O26" s="217">
        <f t="shared" si="2"/>
        <v>153102</v>
      </c>
    </row>
    <row r="27" spans="1:15" ht="20.100000000000001" customHeight="1" thickBot="1">
      <c r="A27" s="13"/>
      <c r="B27" s="62" t="s">
        <v>52</v>
      </c>
      <c r="C27" s="145">
        <f>C26+C16</f>
        <v>254616</v>
      </c>
      <c r="D27" s="129">
        <f t="shared" ref="D27:O27" si="4">D26+D16</f>
        <v>285603</v>
      </c>
      <c r="E27" s="129">
        <f t="shared" si="4"/>
        <v>316274</v>
      </c>
      <c r="F27" s="129">
        <f t="shared" si="4"/>
        <v>315144</v>
      </c>
      <c r="G27" s="129">
        <f t="shared" si="4"/>
        <v>321289</v>
      </c>
      <c r="H27" s="145">
        <f t="shared" si="4"/>
        <v>315144</v>
      </c>
      <c r="I27" s="129">
        <f t="shared" si="4"/>
        <v>321492</v>
      </c>
      <c r="J27" s="129">
        <f t="shared" si="4"/>
        <v>329823</v>
      </c>
      <c r="K27" s="129">
        <f t="shared" si="4"/>
        <v>324698</v>
      </c>
      <c r="L27" s="129">
        <f t="shared" si="4"/>
        <v>321289</v>
      </c>
      <c r="M27" s="129">
        <f t="shared" si="4"/>
        <v>329214</v>
      </c>
      <c r="N27" s="129">
        <f t="shared" ref="N27" si="5">N26+N16</f>
        <v>338465</v>
      </c>
      <c r="O27" s="131">
        <f t="shared" si="4"/>
        <v>330841</v>
      </c>
    </row>
    <row r="28" spans="1:15" ht="20.100000000000001" customHeight="1">
      <c r="A28" s="13"/>
      <c r="B28" s="72"/>
      <c r="C28" s="39"/>
      <c r="D28" s="32"/>
      <c r="E28" s="152"/>
      <c r="F28" s="33"/>
      <c r="G28" s="153"/>
      <c r="H28" s="48"/>
      <c r="I28" s="88"/>
      <c r="J28" s="88"/>
      <c r="K28" s="88"/>
      <c r="L28" s="88"/>
      <c r="M28" s="88"/>
      <c r="N28" s="88"/>
      <c r="O28" s="235"/>
    </row>
    <row r="29" spans="1:15" ht="20.100000000000001" customHeight="1">
      <c r="A29" s="13"/>
      <c r="B29" s="74" t="s">
        <v>53</v>
      </c>
      <c r="C29" s="39"/>
      <c r="D29" s="32"/>
      <c r="E29" s="88"/>
      <c r="F29" s="152"/>
      <c r="G29" s="157"/>
      <c r="H29" s="151"/>
      <c r="I29" s="88"/>
      <c r="J29" s="88"/>
      <c r="K29" s="88"/>
      <c r="L29" s="88"/>
      <c r="M29" s="88"/>
      <c r="N29" s="88"/>
      <c r="O29" s="235"/>
    </row>
    <row r="30" spans="1:15" ht="20.100000000000001" customHeight="1">
      <c r="A30" s="13"/>
      <c r="B30" s="84" t="s">
        <v>55</v>
      </c>
      <c r="C30" s="39"/>
      <c r="D30" s="32"/>
      <c r="E30" s="88"/>
      <c r="F30" s="152"/>
      <c r="G30" s="157"/>
      <c r="H30" s="151"/>
      <c r="I30" s="88"/>
      <c r="J30" s="88"/>
      <c r="K30" s="88"/>
      <c r="L30" s="88"/>
      <c r="M30" s="88"/>
      <c r="N30" s="88"/>
      <c r="O30" s="235"/>
    </row>
    <row r="31" spans="1:15" ht="20.100000000000001" customHeight="1">
      <c r="A31" s="13"/>
      <c r="B31" s="85" t="s">
        <v>56</v>
      </c>
      <c r="C31" s="166">
        <v>3915</v>
      </c>
      <c r="D31" s="128">
        <v>3915</v>
      </c>
      <c r="E31" s="128">
        <v>3915</v>
      </c>
      <c r="F31" s="128">
        <v>3915</v>
      </c>
      <c r="G31" s="126">
        <v>3915</v>
      </c>
      <c r="H31" s="128">
        <v>3915</v>
      </c>
      <c r="I31" s="174">
        <f>3915</f>
        <v>3915</v>
      </c>
      <c r="J31" s="174">
        <v>3915</v>
      </c>
      <c r="K31" s="174">
        <v>3915</v>
      </c>
      <c r="L31" s="128">
        <v>3915</v>
      </c>
      <c r="M31" s="128">
        <f>3915</f>
        <v>3915</v>
      </c>
      <c r="N31" s="175">
        <v>3915</v>
      </c>
      <c r="O31" s="120">
        <v>3915</v>
      </c>
    </row>
    <row r="32" spans="1:15" ht="20.100000000000001" customHeight="1">
      <c r="A32" s="13"/>
      <c r="B32" s="85" t="s">
        <v>57</v>
      </c>
      <c r="C32" s="166">
        <v>106202</v>
      </c>
      <c r="D32" s="128">
        <v>106202</v>
      </c>
      <c r="E32" s="128">
        <v>106202</v>
      </c>
      <c r="F32" s="128">
        <v>106202</v>
      </c>
      <c r="G32" s="126">
        <v>106202</v>
      </c>
      <c r="H32" s="128">
        <v>106202</v>
      </c>
      <c r="I32" s="174">
        <f>106202</f>
        <v>106202</v>
      </c>
      <c r="J32" s="174">
        <v>106202</v>
      </c>
      <c r="K32" s="174">
        <v>106202</v>
      </c>
      <c r="L32" s="128">
        <v>106202</v>
      </c>
      <c r="M32" s="128">
        <f>106202</f>
        <v>106202</v>
      </c>
      <c r="N32" s="175">
        <v>106202</v>
      </c>
      <c r="O32" s="120">
        <v>106202</v>
      </c>
    </row>
    <row r="33" spans="1:15" ht="20.100000000000001" customHeight="1">
      <c r="A33" s="12"/>
      <c r="B33" s="85" t="s">
        <v>58</v>
      </c>
      <c r="C33" s="166">
        <v>857</v>
      </c>
      <c r="D33" s="128">
        <v>857</v>
      </c>
      <c r="E33" s="128">
        <v>857</v>
      </c>
      <c r="F33" s="128">
        <v>857</v>
      </c>
      <c r="G33" s="126">
        <v>857</v>
      </c>
      <c r="H33" s="128">
        <v>857</v>
      </c>
      <c r="I33" s="174">
        <v>857</v>
      </c>
      <c r="J33" s="174">
        <v>857</v>
      </c>
      <c r="K33" s="174">
        <v>857</v>
      </c>
      <c r="L33" s="128">
        <v>857</v>
      </c>
      <c r="M33" s="128">
        <v>857</v>
      </c>
      <c r="N33" s="128">
        <v>24357</v>
      </c>
      <c r="O33" s="126">
        <v>24357</v>
      </c>
    </row>
    <row r="34" spans="1:15" ht="20.100000000000001" customHeight="1">
      <c r="A34" s="13"/>
      <c r="B34" s="85" t="s">
        <v>59</v>
      </c>
      <c r="C34" s="166">
        <v>0</v>
      </c>
      <c r="D34" s="128">
        <v>0</v>
      </c>
      <c r="E34" s="128">
        <v>6944</v>
      </c>
      <c r="F34" s="128">
        <v>0</v>
      </c>
      <c r="G34" s="126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75">
        <v>0</v>
      </c>
      <c r="O34" s="120">
        <v>0</v>
      </c>
    </row>
    <row r="35" spans="1:15" ht="20.100000000000001" customHeight="1">
      <c r="A35" s="12"/>
      <c r="B35" s="200" t="s">
        <v>106</v>
      </c>
      <c r="C35" s="166">
        <v>1400</v>
      </c>
      <c r="D35" s="128">
        <v>2276</v>
      </c>
      <c r="E35" s="128">
        <v>1167</v>
      </c>
      <c r="F35" s="128">
        <v>0</v>
      </c>
      <c r="G35" s="126">
        <v>0</v>
      </c>
      <c r="H35" s="128">
        <v>0</v>
      </c>
      <c r="I35" s="174">
        <v>0</v>
      </c>
      <c r="J35" s="158">
        <v>0</v>
      </c>
      <c r="K35" s="128">
        <v>0</v>
      </c>
      <c r="L35" s="128">
        <v>0</v>
      </c>
      <c r="M35" s="128">
        <v>0</v>
      </c>
      <c r="N35" s="175">
        <v>0</v>
      </c>
      <c r="O35" s="120">
        <v>0</v>
      </c>
    </row>
    <row r="36" spans="1:15" ht="20.100000000000001" customHeight="1">
      <c r="A36" s="12"/>
      <c r="B36" s="200" t="s">
        <v>109</v>
      </c>
      <c r="C36" s="166">
        <v>0</v>
      </c>
      <c r="D36" s="128">
        <v>0</v>
      </c>
      <c r="E36" s="128">
        <v>0</v>
      </c>
      <c r="F36" s="128">
        <v>4518</v>
      </c>
      <c r="G36" s="126">
        <v>4440</v>
      </c>
      <c r="H36" s="128">
        <v>4518</v>
      </c>
      <c r="I36" s="158">
        <f>7975+2978-6881+186</f>
        <v>4258</v>
      </c>
      <c r="J36" s="158">
        <f>7975+1490-6881+500</f>
        <v>3084</v>
      </c>
      <c r="K36" s="158">
        <f>7975+1850-6881+875</f>
        <v>3819</v>
      </c>
      <c r="L36" s="128">
        <v>4440</v>
      </c>
      <c r="M36" s="158">
        <f>9310-326-6229</f>
        <v>2755</v>
      </c>
      <c r="N36" s="175">
        <v>2294</v>
      </c>
      <c r="O36" s="120">
        <v>4513</v>
      </c>
    </row>
    <row r="37" spans="1:15" ht="20.100000000000001" customHeight="1">
      <c r="A37" s="12"/>
      <c r="B37" s="200" t="s">
        <v>149</v>
      </c>
      <c r="C37" s="166">
        <v>0</v>
      </c>
      <c r="D37" s="128">
        <v>0</v>
      </c>
      <c r="E37" s="128">
        <v>0</v>
      </c>
      <c r="F37" s="128">
        <v>0</v>
      </c>
      <c r="G37" s="126">
        <v>0</v>
      </c>
      <c r="H37" s="128">
        <v>0</v>
      </c>
      <c r="I37" s="158">
        <v>0</v>
      </c>
      <c r="J37" s="158">
        <v>0</v>
      </c>
      <c r="K37" s="128">
        <v>0</v>
      </c>
      <c r="L37" s="128">
        <v>0</v>
      </c>
      <c r="M37" s="128">
        <v>0</v>
      </c>
      <c r="N37" s="175">
        <v>-292</v>
      </c>
      <c r="O37" s="120">
        <v>-518</v>
      </c>
    </row>
    <row r="38" spans="1:15" ht="20.100000000000001" customHeight="1" thickBot="1">
      <c r="A38" s="12"/>
      <c r="B38" s="85" t="s">
        <v>60</v>
      </c>
      <c r="C38" s="166">
        <v>7803</v>
      </c>
      <c r="D38" s="128">
        <v>-3059</v>
      </c>
      <c r="E38" s="128">
        <v>7147</v>
      </c>
      <c r="F38" s="128">
        <v>4588</v>
      </c>
      <c r="G38" s="126">
        <v>25671</v>
      </c>
      <c r="H38" s="128">
        <v>4588</v>
      </c>
      <c r="I38" s="158">
        <f>27581+479-2041+388-16695+576-761</f>
        <v>9527</v>
      </c>
      <c r="J38" s="158">
        <f>33648-2041+388-16695+479+576-833</f>
        <v>15522</v>
      </c>
      <c r="K38" s="158">
        <f>40267-2041+388-16695+479+576-1018</f>
        <v>21956</v>
      </c>
      <c r="L38" s="190">
        <v>25671</v>
      </c>
      <c r="M38" s="158">
        <f>53217-2498+475-19025+919+479</f>
        <v>33567</v>
      </c>
      <c r="N38" s="175">
        <v>14935</v>
      </c>
      <c r="O38" s="120">
        <v>22779</v>
      </c>
    </row>
    <row r="39" spans="1:15" ht="23.25" customHeight="1" thickBot="1">
      <c r="A39" s="13"/>
      <c r="B39" s="220" t="s">
        <v>61</v>
      </c>
      <c r="C39" s="145">
        <f t="shared" ref="C39:O39" si="6">SUM(C31:C38)</f>
        <v>120177</v>
      </c>
      <c r="D39" s="129">
        <f t="shared" si="6"/>
        <v>110191</v>
      </c>
      <c r="E39" s="129">
        <f t="shared" si="6"/>
        <v>126232</v>
      </c>
      <c r="F39" s="129">
        <f t="shared" si="6"/>
        <v>120080</v>
      </c>
      <c r="G39" s="129">
        <f t="shared" si="6"/>
        <v>141085</v>
      </c>
      <c r="H39" s="145">
        <f t="shared" si="6"/>
        <v>120080</v>
      </c>
      <c r="I39" s="129">
        <f t="shared" si="6"/>
        <v>124759</v>
      </c>
      <c r="J39" s="129">
        <f t="shared" si="6"/>
        <v>129580</v>
      </c>
      <c r="K39" s="129">
        <f t="shared" si="6"/>
        <v>136749</v>
      </c>
      <c r="L39" s="129">
        <f t="shared" si="6"/>
        <v>141085</v>
      </c>
      <c r="M39" s="129">
        <f t="shared" si="6"/>
        <v>147296</v>
      </c>
      <c r="N39" s="129">
        <f t="shared" si="6"/>
        <v>151411</v>
      </c>
      <c r="O39" s="131">
        <f t="shared" si="6"/>
        <v>161248</v>
      </c>
    </row>
    <row r="40" spans="1:15" ht="20.100000000000001" customHeight="1">
      <c r="A40" s="13"/>
      <c r="B40" s="85"/>
      <c r="C40" s="151"/>
      <c r="D40" s="152"/>
      <c r="E40" s="152"/>
      <c r="F40" s="33"/>
      <c r="G40" s="153"/>
      <c r="H40" s="33"/>
      <c r="I40" s="154"/>
      <c r="J40" s="154"/>
      <c r="K40" s="24"/>
      <c r="L40" s="35"/>
      <c r="M40" s="152"/>
      <c r="N40" s="230"/>
      <c r="O40" s="102"/>
    </row>
    <row r="41" spans="1:15" ht="20.100000000000001" customHeight="1" thickBot="1">
      <c r="A41" s="13"/>
      <c r="B41" s="85" t="s">
        <v>62</v>
      </c>
      <c r="C41" s="166">
        <v>3259</v>
      </c>
      <c r="D41" s="128">
        <v>5381</v>
      </c>
      <c r="E41" s="128">
        <v>4846</v>
      </c>
      <c r="F41" s="128">
        <v>3719</v>
      </c>
      <c r="G41" s="126">
        <v>4765</v>
      </c>
      <c r="H41" s="128">
        <v>3719</v>
      </c>
      <c r="I41" s="158">
        <f>4359-479</f>
        <v>3880</v>
      </c>
      <c r="J41" s="158">
        <f>5525-479</f>
        <v>5046</v>
      </c>
      <c r="K41" s="254">
        <f>5906-479+24</f>
        <v>5451</v>
      </c>
      <c r="L41" s="190">
        <v>4765</v>
      </c>
      <c r="M41" s="128">
        <f>6075-479</f>
        <v>5596</v>
      </c>
      <c r="N41" s="175">
        <v>5265</v>
      </c>
      <c r="O41" s="120">
        <v>6059</v>
      </c>
    </row>
    <row r="42" spans="1:15" ht="20.100000000000001" customHeight="1" thickBot="1">
      <c r="A42" s="13"/>
      <c r="B42" s="220" t="s">
        <v>63</v>
      </c>
      <c r="C42" s="145">
        <f>C39+C41</f>
        <v>123436</v>
      </c>
      <c r="D42" s="129">
        <f t="shared" ref="D42:O42" si="7">D39+D41</f>
        <v>115572</v>
      </c>
      <c r="E42" s="129">
        <f t="shared" si="7"/>
        <v>131078</v>
      </c>
      <c r="F42" s="129">
        <f t="shared" si="7"/>
        <v>123799</v>
      </c>
      <c r="G42" s="129">
        <f t="shared" si="7"/>
        <v>145850</v>
      </c>
      <c r="H42" s="145">
        <f t="shared" si="7"/>
        <v>123799</v>
      </c>
      <c r="I42" s="129">
        <f t="shared" si="7"/>
        <v>128639</v>
      </c>
      <c r="J42" s="129">
        <f t="shared" si="7"/>
        <v>134626</v>
      </c>
      <c r="K42" s="129">
        <f t="shared" si="7"/>
        <v>142200</v>
      </c>
      <c r="L42" s="129">
        <f t="shared" si="7"/>
        <v>145850</v>
      </c>
      <c r="M42" s="129">
        <f t="shared" si="7"/>
        <v>152892</v>
      </c>
      <c r="N42" s="129">
        <f t="shared" ref="N42" si="8">N39+N41</f>
        <v>156676</v>
      </c>
      <c r="O42" s="131">
        <f t="shared" si="7"/>
        <v>167307</v>
      </c>
    </row>
    <row r="43" spans="1:15" ht="20.100000000000001" customHeight="1">
      <c r="A43" s="12"/>
      <c r="B43" s="86"/>
      <c r="C43" s="42"/>
      <c r="D43" s="35"/>
      <c r="E43" s="35"/>
      <c r="F43" s="33"/>
      <c r="G43" s="153"/>
      <c r="H43" s="48"/>
      <c r="I43" s="88"/>
      <c r="J43" s="88"/>
      <c r="K43" s="88"/>
      <c r="L43" s="155"/>
      <c r="M43" s="155"/>
      <c r="N43" s="155"/>
      <c r="O43" s="156"/>
    </row>
    <row r="44" spans="1:15" ht="20.100000000000001" customHeight="1">
      <c r="A44" s="13"/>
      <c r="B44" s="84" t="s">
        <v>64</v>
      </c>
      <c r="C44" s="151"/>
      <c r="D44" s="152"/>
      <c r="E44" s="152"/>
      <c r="F44" s="35"/>
      <c r="G44" s="156"/>
      <c r="H44" s="42"/>
      <c r="I44" s="154"/>
      <c r="J44" s="154"/>
      <c r="K44" s="88"/>
      <c r="L44" s="152"/>
      <c r="M44" s="152"/>
      <c r="N44" s="152"/>
      <c r="O44" s="157"/>
    </row>
    <row r="45" spans="1:15" ht="20.100000000000001" customHeight="1">
      <c r="A45" s="12"/>
      <c r="B45" s="85" t="s">
        <v>65</v>
      </c>
      <c r="C45" s="166">
        <v>12444</v>
      </c>
      <c r="D45" s="128">
        <v>8289</v>
      </c>
      <c r="E45" s="128">
        <v>14155</v>
      </c>
      <c r="F45" s="128">
        <v>70180</v>
      </c>
      <c r="G45" s="126">
        <v>47018</v>
      </c>
      <c r="H45" s="128">
        <v>70180</v>
      </c>
      <c r="I45" s="174">
        <v>64734</v>
      </c>
      <c r="J45" s="174">
        <v>59719</v>
      </c>
      <c r="K45" s="174">
        <v>38889</v>
      </c>
      <c r="L45" s="128">
        <v>47018</v>
      </c>
      <c r="M45" s="128">
        <f>34658</f>
        <v>34658</v>
      </c>
      <c r="N45" s="175">
        <v>44406</v>
      </c>
      <c r="O45" s="120">
        <v>50124</v>
      </c>
    </row>
    <row r="46" spans="1:15" ht="20.100000000000001" customHeight="1">
      <c r="A46" s="12"/>
      <c r="B46" s="85" t="s">
        <v>156</v>
      </c>
      <c r="C46" s="166">
        <v>2335</v>
      </c>
      <c r="D46" s="128">
        <v>1270</v>
      </c>
      <c r="E46" s="128"/>
      <c r="F46" s="128"/>
      <c r="G46" s="126"/>
      <c r="H46" s="128"/>
      <c r="I46" s="174"/>
      <c r="J46" s="174"/>
      <c r="K46" s="174"/>
      <c r="L46" s="128"/>
      <c r="M46" s="128"/>
      <c r="N46" s="175"/>
      <c r="O46" s="120"/>
    </row>
    <row r="47" spans="1:15" ht="20.100000000000001" customHeight="1">
      <c r="A47" s="13"/>
      <c r="B47" s="85" t="s">
        <v>66</v>
      </c>
      <c r="C47" s="166">
        <v>119</v>
      </c>
      <c r="D47" s="128">
        <v>1592</v>
      </c>
      <c r="E47" s="128">
        <v>2584</v>
      </c>
      <c r="F47" s="128">
        <v>2052</v>
      </c>
      <c r="G47" s="126">
        <v>750</v>
      </c>
      <c r="H47" s="128">
        <v>2052</v>
      </c>
      <c r="I47" s="158">
        <f>1938-388</f>
        <v>1550</v>
      </c>
      <c r="J47" s="158">
        <f>2197-388</f>
        <v>1809</v>
      </c>
      <c r="K47" s="158">
        <f>1422-388</f>
        <v>1034</v>
      </c>
      <c r="L47" s="128">
        <v>750</v>
      </c>
      <c r="M47" s="158">
        <f>1112-475</f>
        <v>637</v>
      </c>
      <c r="N47" s="158">
        <v>1216</v>
      </c>
      <c r="O47" s="198">
        <v>153</v>
      </c>
    </row>
    <row r="48" spans="1:15" ht="20.100000000000001" customHeight="1">
      <c r="A48" s="13"/>
      <c r="B48" s="85" t="s">
        <v>67</v>
      </c>
      <c r="C48" s="166">
        <v>146</v>
      </c>
      <c r="D48" s="128">
        <v>146</v>
      </c>
      <c r="E48" s="128">
        <v>177</v>
      </c>
      <c r="F48" s="128">
        <v>146</v>
      </c>
      <c r="G48" s="126">
        <v>258</v>
      </c>
      <c r="H48" s="128">
        <v>146</v>
      </c>
      <c r="I48" s="174">
        <v>146</v>
      </c>
      <c r="J48" s="174">
        <v>146</v>
      </c>
      <c r="K48" s="174">
        <v>146</v>
      </c>
      <c r="L48" s="128">
        <v>258</v>
      </c>
      <c r="M48" s="128">
        <v>258</v>
      </c>
      <c r="N48" s="175">
        <v>258</v>
      </c>
      <c r="O48" s="120">
        <v>258</v>
      </c>
    </row>
    <row r="49" spans="1:15" ht="20.100000000000001" customHeight="1">
      <c r="A49" s="13"/>
      <c r="B49" s="85" t="s">
        <v>68</v>
      </c>
      <c r="C49" s="166">
        <v>4299</v>
      </c>
      <c r="D49" s="128">
        <v>4824</v>
      </c>
      <c r="E49" s="128">
        <v>6267</v>
      </c>
      <c r="F49" s="128">
        <v>5875</v>
      </c>
      <c r="G49" s="126">
        <v>5614</v>
      </c>
      <c r="H49" s="128">
        <v>5875</v>
      </c>
      <c r="I49" s="158">
        <f>6047-576</f>
        <v>5471</v>
      </c>
      <c r="J49" s="158">
        <f>6446-576-278</f>
        <v>5592</v>
      </c>
      <c r="K49" s="174">
        <f>6418-576-278</f>
        <v>5564</v>
      </c>
      <c r="L49" s="128">
        <v>5614</v>
      </c>
      <c r="M49" s="158">
        <f>6492-919</f>
        <v>5573</v>
      </c>
      <c r="N49" s="175">
        <v>4670</v>
      </c>
      <c r="O49" s="120">
        <v>4692</v>
      </c>
    </row>
    <row r="50" spans="1:15" ht="20.100000000000001" customHeight="1">
      <c r="A50" s="13"/>
      <c r="B50" s="85" t="s">
        <v>110</v>
      </c>
      <c r="C50" s="166">
        <v>0</v>
      </c>
      <c r="D50" s="128">
        <v>0</v>
      </c>
      <c r="E50" s="128">
        <v>0</v>
      </c>
      <c r="F50" s="128">
        <v>0</v>
      </c>
      <c r="G50" s="126">
        <v>0</v>
      </c>
      <c r="H50" s="128">
        <v>0</v>
      </c>
      <c r="I50" s="174">
        <v>0</v>
      </c>
      <c r="J50" s="174">
        <v>0</v>
      </c>
      <c r="K50" s="174">
        <v>0</v>
      </c>
      <c r="L50" s="128">
        <v>0</v>
      </c>
      <c r="M50" s="128">
        <v>0</v>
      </c>
      <c r="N50" s="128">
        <v>0</v>
      </c>
      <c r="O50" s="126">
        <v>0</v>
      </c>
    </row>
    <row r="51" spans="1:15" ht="20.100000000000001" customHeight="1">
      <c r="A51" s="13"/>
      <c r="B51" s="85" t="s">
        <v>69</v>
      </c>
      <c r="C51" s="166">
        <v>14921</v>
      </c>
      <c r="D51" s="128">
        <v>17414</v>
      </c>
      <c r="E51" s="128">
        <v>21778</v>
      </c>
      <c r="F51" s="128">
        <v>0</v>
      </c>
      <c r="G51" s="126">
        <v>0</v>
      </c>
      <c r="H51" s="128">
        <v>0</v>
      </c>
      <c r="I51" s="174">
        <v>0</v>
      </c>
      <c r="J51" s="174">
        <v>0</v>
      </c>
      <c r="K51" s="174">
        <v>0</v>
      </c>
      <c r="L51" s="128">
        <v>0</v>
      </c>
      <c r="M51" s="128">
        <v>0</v>
      </c>
      <c r="N51" s="128">
        <v>0</v>
      </c>
      <c r="O51" s="126">
        <v>0</v>
      </c>
    </row>
    <row r="52" spans="1:15" ht="20.100000000000001" customHeight="1" thickBot="1">
      <c r="A52" s="13"/>
      <c r="B52" s="85" t="s">
        <v>111</v>
      </c>
      <c r="C52" s="166">
        <v>0</v>
      </c>
      <c r="D52" s="128">
        <v>0</v>
      </c>
      <c r="E52" s="128">
        <v>0</v>
      </c>
      <c r="F52" s="128">
        <v>14471</v>
      </c>
      <c r="G52" s="126">
        <v>20109</v>
      </c>
      <c r="H52" s="128">
        <v>14471</v>
      </c>
      <c r="I52" s="158">
        <f>26624-4793</f>
        <v>21831</v>
      </c>
      <c r="J52" s="174">
        <f>11242+17792-4995</f>
        <v>24039</v>
      </c>
      <c r="K52" s="174">
        <f>11121+16776-5201</f>
        <v>22696</v>
      </c>
      <c r="L52" s="190">
        <v>20109</v>
      </c>
      <c r="M52" s="128">
        <f>8998+14849-5618</f>
        <v>18229</v>
      </c>
      <c r="N52" s="175">
        <v>22728</v>
      </c>
      <c r="O52" s="120">
        <v>21892</v>
      </c>
    </row>
    <row r="53" spans="1:15" ht="20.100000000000001" customHeight="1" thickBot="1">
      <c r="A53" s="13"/>
      <c r="B53" s="221"/>
      <c r="C53" s="145">
        <f>SUM(C45:C52)</f>
        <v>34264</v>
      </c>
      <c r="D53" s="129">
        <f t="shared" ref="D53:O53" si="9">SUM(D45:D52)</f>
        <v>33535</v>
      </c>
      <c r="E53" s="129">
        <f t="shared" si="9"/>
        <v>44961</v>
      </c>
      <c r="F53" s="129">
        <f t="shared" si="9"/>
        <v>92724</v>
      </c>
      <c r="G53" s="129">
        <f t="shared" si="9"/>
        <v>73749</v>
      </c>
      <c r="H53" s="145">
        <f t="shared" si="9"/>
        <v>92724</v>
      </c>
      <c r="I53" s="129">
        <f t="shared" si="9"/>
        <v>93732</v>
      </c>
      <c r="J53" s="129">
        <f t="shared" si="9"/>
        <v>91305</v>
      </c>
      <c r="K53" s="129">
        <f t="shared" si="9"/>
        <v>68329</v>
      </c>
      <c r="L53" s="129">
        <f t="shared" si="9"/>
        <v>73749</v>
      </c>
      <c r="M53" s="129">
        <f t="shared" si="9"/>
        <v>59355</v>
      </c>
      <c r="N53" s="129">
        <f t="shared" ref="N53" si="10">SUM(N45:N52)</f>
        <v>73278</v>
      </c>
      <c r="O53" s="131">
        <f t="shared" si="9"/>
        <v>77119</v>
      </c>
    </row>
    <row r="54" spans="1:15" ht="20.100000000000001" customHeight="1">
      <c r="A54" s="13"/>
      <c r="B54" s="85"/>
      <c r="C54" s="42"/>
      <c r="D54" s="35"/>
      <c r="E54" s="35"/>
      <c r="F54" s="35"/>
      <c r="G54" s="156"/>
      <c r="H54" s="42"/>
      <c r="I54" s="154"/>
      <c r="J54" s="88"/>
      <c r="K54" s="88"/>
      <c r="L54" s="152"/>
      <c r="M54" s="152"/>
      <c r="N54" s="152"/>
      <c r="O54" s="157"/>
    </row>
    <row r="55" spans="1:15" ht="20.100000000000001" customHeight="1">
      <c r="A55" s="12"/>
      <c r="B55" s="84" t="s">
        <v>70</v>
      </c>
      <c r="C55" s="151"/>
      <c r="D55" s="152"/>
      <c r="E55" s="152"/>
      <c r="F55" s="35"/>
      <c r="G55" s="156"/>
      <c r="H55" s="42"/>
      <c r="I55" s="154"/>
      <c r="J55" s="154"/>
      <c r="K55" s="88"/>
      <c r="L55" s="152"/>
      <c r="M55" s="155"/>
      <c r="N55" s="155"/>
      <c r="O55" s="156"/>
    </row>
    <row r="56" spans="1:15" ht="20.100000000000001" customHeight="1">
      <c r="A56" s="13"/>
      <c r="B56" s="85" t="s">
        <v>71</v>
      </c>
      <c r="C56" s="166">
        <v>36230</v>
      </c>
      <c r="D56" s="128">
        <v>69965</v>
      </c>
      <c r="E56" s="128">
        <v>68553</v>
      </c>
      <c r="F56" s="128">
        <v>16249</v>
      </c>
      <c r="G56" s="126">
        <v>16049</v>
      </c>
      <c r="H56" s="128">
        <v>16249</v>
      </c>
      <c r="I56" s="174">
        <f>24900</f>
        <v>24900</v>
      </c>
      <c r="J56" s="174">
        <f>17922</f>
        <v>17922</v>
      </c>
      <c r="K56" s="174">
        <f>35468</f>
        <v>35468</v>
      </c>
      <c r="L56" s="128">
        <v>16049</v>
      </c>
      <c r="M56" s="128">
        <f>28911</f>
        <v>28911</v>
      </c>
      <c r="N56" s="231">
        <v>24194</v>
      </c>
      <c r="O56" s="130">
        <v>15682</v>
      </c>
    </row>
    <row r="57" spans="1:15" ht="20.100000000000001" customHeight="1">
      <c r="A57" s="13"/>
      <c r="B57" s="85" t="s">
        <v>87</v>
      </c>
      <c r="C57" s="166">
        <v>55741</v>
      </c>
      <c r="D57" s="128">
        <v>61207</v>
      </c>
      <c r="E57" s="128">
        <v>63642</v>
      </c>
      <c r="F57" s="128">
        <v>75261</v>
      </c>
      <c r="G57" s="126">
        <v>75547</v>
      </c>
      <c r="H57" s="128">
        <v>75261</v>
      </c>
      <c r="I57" s="174">
        <f>63428</f>
        <v>63428</v>
      </c>
      <c r="J57" s="174">
        <f>75753</f>
        <v>75753</v>
      </c>
      <c r="K57" s="174">
        <f>68850</f>
        <v>68850</v>
      </c>
      <c r="L57" s="128">
        <v>75547</v>
      </c>
      <c r="M57" s="128">
        <f>76856</f>
        <v>76856</v>
      </c>
      <c r="N57" s="231">
        <v>73013</v>
      </c>
      <c r="O57" s="130">
        <v>60338</v>
      </c>
    </row>
    <row r="58" spans="1:15" ht="20.100000000000001" customHeight="1">
      <c r="A58" s="13"/>
      <c r="B58" s="85" t="s">
        <v>89</v>
      </c>
      <c r="C58" s="166">
        <v>142</v>
      </c>
      <c r="D58" s="128">
        <v>282</v>
      </c>
      <c r="E58" s="128">
        <v>900</v>
      </c>
      <c r="F58" s="128">
        <v>413</v>
      </c>
      <c r="G58" s="126">
        <v>1255</v>
      </c>
      <c r="H58" s="128">
        <v>413</v>
      </c>
      <c r="I58" s="174">
        <f>1904</f>
        <v>1904</v>
      </c>
      <c r="J58" s="175">
        <f>1529</f>
        <v>1529</v>
      </c>
      <c r="K58" s="128">
        <v>1313</v>
      </c>
      <c r="L58" s="128">
        <v>1255</v>
      </c>
      <c r="M58" s="128">
        <f>1426</f>
        <v>1426</v>
      </c>
      <c r="N58" s="128">
        <v>767</v>
      </c>
      <c r="O58" s="126">
        <v>580</v>
      </c>
    </row>
    <row r="59" spans="1:15" ht="20.100000000000001" customHeight="1">
      <c r="A59" s="12"/>
      <c r="B59" s="85" t="s">
        <v>88</v>
      </c>
      <c r="C59" s="166">
        <v>0</v>
      </c>
      <c r="D59" s="128">
        <v>4</v>
      </c>
      <c r="E59" s="128">
        <v>12</v>
      </c>
      <c r="F59" s="128">
        <v>17</v>
      </c>
      <c r="G59" s="126">
        <v>52</v>
      </c>
      <c r="H59" s="128">
        <v>17</v>
      </c>
      <c r="I59" s="174">
        <v>7</v>
      </c>
      <c r="J59" s="174">
        <v>43</v>
      </c>
      <c r="K59" s="174">
        <v>8</v>
      </c>
      <c r="L59" s="128">
        <v>52</v>
      </c>
      <c r="M59" s="128">
        <v>7</v>
      </c>
      <c r="N59" s="175">
        <v>7</v>
      </c>
      <c r="O59" s="120">
        <v>90</v>
      </c>
    </row>
    <row r="60" spans="1:15" ht="20.100000000000001" customHeight="1">
      <c r="A60" s="12"/>
      <c r="B60" s="85" t="s">
        <v>67</v>
      </c>
      <c r="C60" s="166">
        <v>1300</v>
      </c>
      <c r="D60" s="128">
        <v>1255</v>
      </c>
      <c r="E60" s="128">
        <v>2381</v>
      </c>
      <c r="F60" s="128">
        <v>1613</v>
      </c>
      <c r="G60" s="126">
        <v>1603</v>
      </c>
      <c r="H60" s="128">
        <v>1613</v>
      </c>
      <c r="I60" s="174">
        <v>1476</v>
      </c>
      <c r="J60" s="174">
        <v>1605</v>
      </c>
      <c r="K60" s="174">
        <v>1468</v>
      </c>
      <c r="L60" s="128">
        <v>1603</v>
      </c>
      <c r="M60" s="128">
        <v>2490</v>
      </c>
      <c r="N60" s="175">
        <v>2468</v>
      </c>
      <c r="O60" s="120">
        <v>2137</v>
      </c>
    </row>
    <row r="61" spans="1:15" ht="20.100000000000001" customHeight="1">
      <c r="A61" s="12"/>
      <c r="B61" s="85" t="s">
        <v>68</v>
      </c>
      <c r="C61" s="166">
        <v>630</v>
      </c>
      <c r="D61" s="128">
        <v>871</v>
      </c>
      <c r="E61" s="128">
        <v>634</v>
      </c>
      <c r="F61" s="128">
        <v>634</v>
      </c>
      <c r="G61" s="126">
        <v>636</v>
      </c>
      <c r="H61" s="128">
        <v>634</v>
      </c>
      <c r="I61" s="174">
        <v>778</v>
      </c>
      <c r="J61" s="174">
        <v>634</v>
      </c>
      <c r="K61" s="174">
        <v>792</v>
      </c>
      <c r="L61" s="128">
        <v>636</v>
      </c>
      <c r="M61" s="128">
        <v>636</v>
      </c>
      <c r="N61" s="175">
        <v>1232</v>
      </c>
      <c r="O61" s="120">
        <v>1382</v>
      </c>
    </row>
    <row r="62" spans="1:15" ht="20.100000000000001" customHeight="1">
      <c r="A62" s="12"/>
      <c r="B62" s="85" t="s">
        <v>110</v>
      </c>
      <c r="C62" s="166">
        <v>0</v>
      </c>
      <c r="D62" s="128">
        <v>0</v>
      </c>
      <c r="E62" s="128">
        <v>0</v>
      </c>
      <c r="F62" s="128">
        <v>0</v>
      </c>
      <c r="G62" s="126">
        <v>0</v>
      </c>
      <c r="H62" s="128">
        <v>0</v>
      </c>
      <c r="I62" s="174">
        <v>0</v>
      </c>
      <c r="J62" s="174">
        <v>0</v>
      </c>
      <c r="K62" s="174">
        <v>0</v>
      </c>
      <c r="L62" s="128">
        <v>0</v>
      </c>
      <c r="M62" s="128">
        <v>0</v>
      </c>
      <c r="N62" s="175">
        <v>0</v>
      </c>
      <c r="O62" s="120">
        <v>0</v>
      </c>
    </row>
    <row r="63" spans="1:15" ht="20.100000000000001" customHeight="1">
      <c r="A63" s="7"/>
      <c r="B63" s="85" t="s">
        <v>69</v>
      </c>
      <c r="C63" s="166">
        <v>2873</v>
      </c>
      <c r="D63" s="128">
        <v>2912</v>
      </c>
      <c r="E63" s="128">
        <v>4113</v>
      </c>
      <c r="F63" s="128">
        <v>0</v>
      </c>
      <c r="G63" s="126">
        <v>0</v>
      </c>
      <c r="H63" s="128">
        <v>0</v>
      </c>
      <c r="I63" s="174">
        <v>0</v>
      </c>
      <c r="J63" s="174">
        <v>0</v>
      </c>
      <c r="K63" s="174">
        <v>0</v>
      </c>
      <c r="L63" s="128">
        <v>0</v>
      </c>
      <c r="M63" s="128">
        <v>0</v>
      </c>
      <c r="N63" s="175">
        <v>0</v>
      </c>
      <c r="O63" s="120">
        <v>0</v>
      </c>
    </row>
    <row r="64" spans="1:15" ht="20.100000000000001" customHeight="1" thickBot="1">
      <c r="A64" s="7"/>
      <c r="B64" s="85" t="s">
        <v>111</v>
      </c>
      <c r="C64" s="166">
        <v>0</v>
      </c>
      <c r="D64" s="128">
        <v>0</v>
      </c>
      <c r="E64" s="128">
        <v>0</v>
      </c>
      <c r="F64" s="128">
        <v>4434</v>
      </c>
      <c r="G64" s="126">
        <v>6548</v>
      </c>
      <c r="H64" s="128">
        <v>4434</v>
      </c>
      <c r="I64" s="174">
        <v>6628</v>
      </c>
      <c r="J64" s="174">
        <f>2008+4398</f>
        <v>6406</v>
      </c>
      <c r="K64" s="176">
        <f>1950+4320</f>
        <v>6270</v>
      </c>
      <c r="L64" s="190">
        <v>6548</v>
      </c>
      <c r="M64" s="128">
        <f>2346+4295</f>
        <v>6641</v>
      </c>
      <c r="N64" s="128">
        <v>6830</v>
      </c>
      <c r="O64" s="126">
        <v>6206</v>
      </c>
    </row>
    <row r="65" spans="1:15" ht="20.100000000000001" customHeight="1" thickBot="1">
      <c r="A65" s="7"/>
      <c r="B65" s="49"/>
      <c r="C65" s="145">
        <f>SUM(C56:C64)</f>
        <v>96916</v>
      </c>
      <c r="D65" s="129">
        <f t="shared" ref="D65:O65" si="11">SUM(D56:D64)</f>
        <v>136496</v>
      </c>
      <c r="E65" s="129">
        <f t="shared" si="11"/>
        <v>140235</v>
      </c>
      <c r="F65" s="129">
        <f t="shared" si="11"/>
        <v>98621</v>
      </c>
      <c r="G65" s="129">
        <f t="shared" si="11"/>
        <v>101690</v>
      </c>
      <c r="H65" s="145">
        <f t="shared" si="11"/>
        <v>98621</v>
      </c>
      <c r="I65" s="129">
        <f t="shared" si="11"/>
        <v>99121</v>
      </c>
      <c r="J65" s="129">
        <f t="shared" si="11"/>
        <v>103892</v>
      </c>
      <c r="K65" s="129">
        <f t="shared" si="11"/>
        <v>114169</v>
      </c>
      <c r="L65" s="129">
        <f t="shared" si="11"/>
        <v>101690</v>
      </c>
      <c r="M65" s="129">
        <f t="shared" si="11"/>
        <v>116967</v>
      </c>
      <c r="N65" s="129">
        <f t="shared" ref="N65" si="12">SUM(N56:N64)</f>
        <v>108511</v>
      </c>
      <c r="O65" s="131">
        <f t="shared" si="11"/>
        <v>86415</v>
      </c>
    </row>
    <row r="66" spans="1:15" ht="20.100000000000001" customHeight="1" thickBot="1">
      <c r="A66" s="7"/>
      <c r="B66" s="87"/>
      <c r="C66" s="42"/>
      <c r="D66" s="35"/>
      <c r="E66" s="33"/>
      <c r="F66" s="35"/>
      <c r="G66" s="159"/>
      <c r="H66" s="35"/>
      <c r="I66" s="160"/>
      <c r="J66" s="154"/>
      <c r="K66" s="161"/>
      <c r="L66" s="162"/>
      <c r="M66" s="155"/>
      <c r="N66" s="155"/>
      <c r="O66" s="156"/>
    </row>
    <row r="67" spans="1:15" ht="20.100000000000001" customHeight="1" thickBot="1">
      <c r="A67" s="7"/>
      <c r="B67" s="222" t="s">
        <v>90</v>
      </c>
      <c r="C67" s="145">
        <f>SUM(C65+C53+C42)</f>
        <v>254616</v>
      </c>
      <c r="D67" s="129">
        <f t="shared" ref="D67:O67" si="13">SUM(D65+D53+D42)</f>
        <v>285603</v>
      </c>
      <c r="E67" s="129">
        <f t="shared" si="13"/>
        <v>316274</v>
      </c>
      <c r="F67" s="129">
        <f t="shared" si="13"/>
        <v>315144</v>
      </c>
      <c r="G67" s="129">
        <f t="shared" si="13"/>
        <v>321289</v>
      </c>
      <c r="H67" s="145">
        <f t="shared" si="13"/>
        <v>315144</v>
      </c>
      <c r="I67" s="129">
        <f t="shared" si="13"/>
        <v>321492</v>
      </c>
      <c r="J67" s="129">
        <f t="shared" si="13"/>
        <v>329823</v>
      </c>
      <c r="K67" s="129">
        <f t="shared" si="13"/>
        <v>324698</v>
      </c>
      <c r="L67" s="129">
        <f t="shared" si="13"/>
        <v>321289</v>
      </c>
      <c r="M67" s="129">
        <f t="shared" si="13"/>
        <v>329214</v>
      </c>
      <c r="N67" s="129">
        <f t="shared" ref="N67" si="14">SUM(N65+N53+N42)</f>
        <v>338465</v>
      </c>
      <c r="O67" s="131">
        <f t="shared" si="13"/>
        <v>330841</v>
      </c>
    </row>
    <row r="68" spans="1:15"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</sheetData>
  <mergeCells count="4">
    <mergeCell ref="B5:B6"/>
    <mergeCell ref="C5:G5"/>
    <mergeCell ref="F1:I1"/>
    <mergeCell ref="H5:O5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rowBreaks count="1" manualBreakCount="1">
    <brk id="67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2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47" sqref="H47"/>
    </sheetView>
  </sheetViews>
  <sheetFormatPr defaultColWidth="9" defaultRowHeight="14.25"/>
  <cols>
    <col min="1" max="1" width="3.5" style="10" customWidth="1"/>
    <col min="2" max="2" width="31.5" style="10" customWidth="1"/>
    <col min="3" max="14" width="10.625" style="10" customWidth="1"/>
    <col min="15" max="15" width="9.375" style="10" customWidth="1"/>
    <col min="16" max="16384" width="9" style="10"/>
  </cols>
  <sheetData>
    <row r="1" spans="1:15" ht="57" customHeight="1">
      <c r="A1" s="7"/>
      <c r="B1" s="17"/>
      <c r="C1" s="18"/>
      <c r="D1" s="18"/>
      <c r="E1" s="18"/>
      <c r="F1" s="28" t="s">
        <v>3</v>
      </c>
      <c r="G1" s="28"/>
      <c r="H1" s="28"/>
      <c r="I1" s="18"/>
      <c r="J1" s="18"/>
      <c r="K1" s="18"/>
      <c r="L1" s="18"/>
      <c r="M1" s="18"/>
      <c r="N1" s="18"/>
      <c r="O1" s="18"/>
    </row>
    <row r="2" spans="1:15" ht="21" customHeight="1">
      <c r="A2" s="7"/>
      <c r="B2" s="11"/>
      <c r="C2" s="7"/>
      <c r="D2" s="7"/>
      <c r="E2" s="7"/>
      <c r="F2" s="25"/>
      <c r="G2" s="25"/>
      <c r="H2" s="25"/>
      <c r="I2" s="7"/>
      <c r="J2" s="7"/>
      <c r="K2" s="7"/>
      <c r="L2" s="7"/>
      <c r="M2" s="7"/>
      <c r="N2" s="7"/>
      <c r="O2" s="7"/>
    </row>
    <row r="3" spans="1:15" ht="15" customHeight="1" thickBot="1">
      <c r="A3" s="7"/>
      <c r="B3" s="30"/>
      <c r="C3" s="7"/>
      <c r="D3" s="271"/>
      <c r="E3" s="271"/>
      <c r="F3" s="271"/>
      <c r="G3" s="271"/>
      <c r="H3" s="25"/>
      <c r="I3" s="7"/>
      <c r="J3" s="7"/>
      <c r="K3" s="7"/>
      <c r="L3" s="7"/>
      <c r="M3" s="7"/>
      <c r="N3" s="7"/>
      <c r="O3" s="7"/>
    </row>
    <row r="4" spans="1:15" ht="21" customHeight="1" thickBot="1">
      <c r="A4" s="7"/>
      <c r="B4" s="269" t="s">
        <v>12</v>
      </c>
      <c r="C4" s="266" t="s">
        <v>11</v>
      </c>
      <c r="D4" s="267"/>
      <c r="E4" s="267"/>
      <c r="F4" s="267"/>
      <c r="G4" s="268"/>
      <c r="H4" s="262" t="s">
        <v>5</v>
      </c>
      <c r="I4" s="263"/>
      <c r="J4" s="263"/>
      <c r="K4" s="263"/>
      <c r="L4" s="263"/>
      <c r="M4" s="263"/>
      <c r="N4" s="263"/>
      <c r="O4" s="264"/>
    </row>
    <row r="5" spans="1:15" ht="24.95" customHeight="1" thickBot="1">
      <c r="A5" s="7"/>
      <c r="B5" s="270"/>
      <c r="C5" s="208" t="s">
        <v>10</v>
      </c>
      <c r="D5" s="209" t="s">
        <v>9</v>
      </c>
      <c r="E5" s="209" t="s">
        <v>8</v>
      </c>
      <c r="F5" s="209" t="s">
        <v>130</v>
      </c>
      <c r="G5" s="210" t="s">
        <v>129</v>
      </c>
      <c r="H5" s="106" t="s">
        <v>140</v>
      </c>
      <c r="I5" s="107" t="s">
        <v>143</v>
      </c>
      <c r="J5" s="107" t="s">
        <v>142</v>
      </c>
      <c r="K5" s="107" t="s">
        <v>141</v>
      </c>
      <c r="L5" s="107" t="s">
        <v>154</v>
      </c>
      <c r="M5" s="107" t="s">
        <v>139</v>
      </c>
      <c r="N5" s="224" t="s">
        <v>138</v>
      </c>
      <c r="O5" s="108" t="s">
        <v>150</v>
      </c>
    </row>
    <row r="6" spans="1:15" ht="20.100000000000001" customHeight="1">
      <c r="A6" s="7"/>
      <c r="B6" s="72" t="s">
        <v>14</v>
      </c>
      <c r="C6" s="52"/>
      <c r="D6" s="24"/>
      <c r="E6" s="24"/>
      <c r="F6" s="24"/>
      <c r="G6" s="24"/>
      <c r="H6" s="78"/>
      <c r="I6" s="24"/>
      <c r="J6" s="24"/>
      <c r="K6" s="24"/>
      <c r="L6" s="56"/>
      <c r="M6" s="24"/>
      <c r="N6" s="24"/>
      <c r="O6" s="31"/>
    </row>
    <row r="7" spans="1:15" ht="20.100000000000001" customHeight="1">
      <c r="A7" s="15"/>
      <c r="B7" s="73" t="s">
        <v>15</v>
      </c>
      <c r="C7" s="166">
        <v>231725</v>
      </c>
      <c r="D7" s="128">
        <v>269498</v>
      </c>
      <c r="E7" s="128">
        <v>318467</v>
      </c>
      <c r="F7" s="128">
        <v>370919</v>
      </c>
      <c r="G7" s="126">
        <f>396066</f>
        <v>396066</v>
      </c>
      <c r="H7" s="128">
        <f>370919-278375</f>
        <v>92544</v>
      </c>
      <c r="I7" s="128">
        <f>190999-J7</f>
        <v>87305</v>
      </c>
      <c r="J7" s="117">
        <v>103694</v>
      </c>
      <c r="K7" s="117">
        <v>103444</v>
      </c>
      <c r="L7" s="128">
        <f>G7-SUM(I7:K7)</f>
        <v>101623</v>
      </c>
      <c r="M7" s="128">
        <f>196462-N7</f>
        <v>92106</v>
      </c>
      <c r="N7" s="128">
        <v>104356</v>
      </c>
      <c r="O7" s="120">
        <v>96862</v>
      </c>
    </row>
    <row r="8" spans="1:15" ht="20.100000000000001" customHeight="1" thickBot="1">
      <c r="A8" s="7"/>
      <c r="B8" s="73" t="s">
        <v>16</v>
      </c>
      <c r="C8" s="166">
        <v>168032</v>
      </c>
      <c r="D8" s="128">
        <v>200904</v>
      </c>
      <c r="E8" s="128">
        <v>241905</v>
      </c>
      <c r="F8" s="128">
        <v>276549</v>
      </c>
      <c r="G8" s="126">
        <f>289210</f>
        <v>289210</v>
      </c>
      <c r="H8" s="128">
        <f>276549-206645</f>
        <v>69904</v>
      </c>
      <c r="I8" s="128">
        <f>139546-J8</f>
        <v>64331</v>
      </c>
      <c r="J8" s="117">
        <v>75215</v>
      </c>
      <c r="K8" s="117">
        <v>76650</v>
      </c>
      <c r="L8" s="128">
        <f>G8-SUM(I8:K8)</f>
        <v>73014</v>
      </c>
      <c r="M8" s="128">
        <f>139793-N8</f>
        <v>65166</v>
      </c>
      <c r="N8" s="128">
        <v>74627</v>
      </c>
      <c r="O8" s="120">
        <v>69437</v>
      </c>
    </row>
    <row r="9" spans="1:15" ht="20.100000000000001" customHeight="1" thickBot="1">
      <c r="A9" s="7"/>
      <c r="B9" s="72" t="s">
        <v>17</v>
      </c>
      <c r="C9" s="223">
        <f t="shared" ref="C9" si="0">C7-C8</f>
        <v>63693</v>
      </c>
      <c r="D9" s="223">
        <f t="shared" ref="D9" si="1">D7-D8</f>
        <v>68594</v>
      </c>
      <c r="E9" s="223">
        <f t="shared" ref="E9" si="2">E7-E8</f>
        <v>76562</v>
      </c>
      <c r="F9" s="223">
        <f t="shared" ref="F9" si="3">F7-F8</f>
        <v>94370</v>
      </c>
      <c r="G9" s="241">
        <f t="shared" ref="G9" si="4">G7-G8</f>
        <v>106856</v>
      </c>
      <c r="H9" s="223">
        <f t="shared" ref="H9:J9" si="5">H7-H8</f>
        <v>22640</v>
      </c>
      <c r="I9" s="223">
        <f t="shared" si="5"/>
        <v>22974</v>
      </c>
      <c r="J9" s="223">
        <f t="shared" si="5"/>
        <v>28479</v>
      </c>
      <c r="K9" s="223">
        <f>K7-K8</f>
        <v>26794</v>
      </c>
      <c r="L9" s="223">
        <f t="shared" ref="L9:O9" si="6">L7-L8</f>
        <v>28609</v>
      </c>
      <c r="M9" s="223">
        <f t="shared" si="6"/>
        <v>26940</v>
      </c>
      <c r="N9" s="223">
        <f t="shared" si="6"/>
        <v>29729</v>
      </c>
      <c r="O9" s="241">
        <f t="shared" si="6"/>
        <v>27425</v>
      </c>
    </row>
    <row r="10" spans="1:15" ht="20.100000000000001" customHeight="1">
      <c r="A10" s="7"/>
      <c r="B10" s="74"/>
      <c r="C10" s="46"/>
      <c r="D10" s="36"/>
      <c r="E10" s="36"/>
      <c r="F10" s="36"/>
      <c r="G10" s="36"/>
      <c r="H10" s="53"/>
      <c r="I10" s="40"/>
      <c r="J10" s="22"/>
      <c r="K10" s="22"/>
      <c r="L10" s="22"/>
      <c r="M10" s="40"/>
      <c r="N10" s="40"/>
      <c r="O10" s="110"/>
    </row>
    <row r="11" spans="1:15" ht="20.100000000000001" customHeight="1">
      <c r="A11" s="7"/>
      <c r="B11" s="73" t="s">
        <v>18</v>
      </c>
      <c r="C11" s="166">
        <v>3588</v>
      </c>
      <c r="D11" s="128">
        <v>3488</v>
      </c>
      <c r="E11" s="128">
        <v>4773</v>
      </c>
      <c r="F11" s="128">
        <v>2546</v>
      </c>
      <c r="G11" s="126">
        <f>4520+576</f>
        <v>5096</v>
      </c>
      <c r="H11" s="128">
        <f>2546+343-1884</f>
        <v>1005</v>
      </c>
      <c r="I11" s="250">
        <f>2673-J11</f>
        <v>682</v>
      </c>
      <c r="J11" s="117">
        <v>1991</v>
      </c>
      <c r="K11" s="117">
        <v>634</v>
      </c>
      <c r="L11" s="128">
        <f t="shared" ref="L11:L14" si="7">G11-SUM(I11:K11)</f>
        <v>1789</v>
      </c>
      <c r="M11" s="118">
        <f>3380-N11</f>
        <v>1191</v>
      </c>
      <c r="N11" s="118">
        <v>2189</v>
      </c>
      <c r="O11" s="121">
        <v>1094</v>
      </c>
    </row>
    <row r="12" spans="1:15" ht="20.100000000000001" customHeight="1">
      <c r="A12" s="7"/>
      <c r="B12" s="73" t="s">
        <v>19</v>
      </c>
      <c r="C12" s="166">
        <v>28593</v>
      </c>
      <c r="D12" s="128">
        <v>36596</v>
      </c>
      <c r="E12" s="128">
        <v>36127</v>
      </c>
      <c r="F12" s="128">
        <v>40257</v>
      </c>
      <c r="G12" s="126">
        <f>41892+2330</f>
        <v>44222</v>
      </c>
      <c r="H12" s="128">
        <f>40257+2101-29306</f>
        <v>13052</v>
      </c>
      <c r="I12" s="128">
        <f>21397-J12</f>
        <v>9683</v>
      </c>
      <c r="J12" s="117">
        <v>11714</v>
      </c>
      <c r="K12" s="117">
        <v>10457</v>
      </c>
      <c r="L12" s="128">
        <f t="shared" si="7"/>
        <v>12368</v>
      </c>
      <c r="M12" s="128">
        <f>19049-N12</f>
        <v>9433</v>
      </c>
      <c r="N12" s="128">
        <v>9616</v>
      </c>
      <c r="O12" s="120">
        <v>9782</v>
      </c>
    </row>
    <row r="13" spans="1:15" ht="20.100000000000001" customHeight="1">
      <c r="A13" s="15"/>
      <c r="B13" s="73" t="s">
        <v>20</v>
      </c>
      <c r="C13" s="166">
        <v>23765</v>
      </c>
      <c r="D13" s="128">
        <v>18119</v>
      </c>
      <c r="E13" s="128">
        <v>21571</v>
      </c>
      <c r="F13" s="128">
        <v>23981</v>
      </c>
      <c r="G13" s="126">
        <f>27459</f>
        <v>27459</v>
      </c>
      <c r="H13" s="128">
        <f>23981-16855</f>
        <v>7126</v>
      </c>
      <c r="I13" s="128">
        <f>13202-J13</f>
        <v>6003</v>
      </c>
      <c r="J13" s="117">
        <v>7199</v>
      </c>
      <c r="K13" s="117">
        <v>6537</v>
      </c>
      <c r="L13" s="128">
        <f t="shared" si="7"/>
        <v>7720</v>
      </c>
      <c r="M13" s="128">
        <f>12908-N13</f>
        <v>6320</v>
      </c>
      <c r="N13" s="128">
        <v>6588</v>
      </c>
      <c r="O13" s="120">
        <v>6923</v>
      </c>
    </row>
    <row r="14" spans="1:15" ht="20.100000000000001" customHeight="1" thickBot="1">
      <c r="A14" s="7"/>
      <c r="B14" s="73" t="s">
        <v>21</v>
      </c>
      <c r="C14" s="166">
        <v>2823</v>
      </c>
      <c r="D14" s="128">
        <v>6316</v>
      </c>
      <c r="E14" s="128">
        <v>5322</v>
      </c>
      <c r="F14" s="128">
        <v>7727</v>
      </c>
      <c r="G14" s="126">
        <f>6694+2498</f>
        <v>9192</v>
      </c>
      <c r="H14" s="128">
        <f>7727+2041-3360</f>
        <v>6408</v>
      </c>
      <c r="I14" s="250">
        <f>2224-J14</f>
        <v>767</v>
      </c>
      <c r="J14" s="117">
        <v>1457</v>
      </c>
      <c r="K14" s="117">
        <v>617</v>
      </c>
      <c r="L14" s="128">
        <f t="shared" si="7"/>
        <v>6351</v>
      </c>
      <c r="M14" s="118">
        <f>4523-N14</f>
        <v>1749</v>
      </c>
      <c r="N14" s="118">
        <v>2774</v>
      </c>
      <c r="O14" s="120">
        <v>895</v>
      </c>
    </row>
    <row r="15" spans="1:15" ht="20.100000000000001" customHeight="1" thickBot="1">
      <c r="A15" s="7"/>
      <c r="B15" s="72" t="s">
        <v>22</v>
      </c>
      <c r="C15" s="223">
        <f t="shared" ref="C15" si="8">C9+C11-C12-C13-C14</f>
        <v>12100</v>
      </c>
      <c r="D15" s="223">
        <f t="shared" ref="D15" si="9">D9+D11-D12-D13-D14</f>
        <v>11051</v>
      </c>
      <c r="E15" s="223">
        <f t="shared" ref="E15" si="10">E9+E11-E12-E13-E14</f>
        <v>18315</v>
      </c>
      <c r="F15" s="223">
        <f t="shared" ref="F15" si="11">F9+F11-F12-F13-F14</f>
        <v>24951</v>
      </c>
      <c r="G15" s="241">
        <f t="shared" ref="G15" si="12">G9+G11-G12-G13-G14</f>
        <v>31079</v>
      </c>
      <c r="H15" s="223">
        <f t="shared" ref="H15:J15" si="13">H9+H11-H12-H13-H14</f>
        <v>-2941</v>
      </c>
      <c r="I15" s="223">
        <f t="shared" si="13"/>
        <v>7203</v>
      </c>
      <c r="J15" s="223">
        <f t="shared" si="13"/>
        <v>10100</v>
      </c>
      <c r="K15" s="223">
        <f>K9+K11-K12-K13-K14</f>
        <v>9817</v>
      </c>
      <c r="L15" s="223">
        <f t="shared" ref="L15:N15" si="14">L9+L11-L12-L13-L14</f>
        <v>3959</v>
      </c>
      <c r="M15" s="223">
        <f t="shared" si="14"/>
        <v>10629</v>
      </c>
      <c r="N15" s="223">
        <f t="shared" si="14"/>
        <v>12940</v>
      </c>
      <c r="O15" s="223">
        <f>O9+O11-O12-O13-O14</f>
        <v>10919</v>
      </c>
    </row>
    <row r="16" spans="1:15" ht="20.100000000000001" customHeight="1">
      <c r="A16" s="7"/>
      <c r="B16" s="74"/>
      <c r="C16" s="46"/>
      <c r="D16" s="36"/>
      <c r="E16" s="36"/>
      <c r="F16" s="36"/>
      <c r="G16" s="36"/>
      <c r="H16" s="53"/>
      <c r="I16" s="40"/>
      <c r="J16" s="22"/>
      <c r="K16" s="22"/>
      <c r="L16" s="22"/>
      <c r="M16" s="40"/>
      <c r="N16" s="40"/>
      <c r="O16" s="110"/>
    </row>
    <row r="17" spans="1:15" ht="20.100000000000001" customHeight="1">
      <c r="A17" s="15"/>
      <c r="B17" s="73" t="s">
        <v>23</v>
      </c>
      <c r="C17" s="167">
        <v>2044</v>
      </c>
      <c r="D17" s="128">
        <v>2682</v>
      </c>
      <c r="E17" s="128">
        <v>2864</v>
      </c>
      <c r="F17" s="128">
        <v>1003</v>
      </c>
      <c r="G17" s="126">
        <f>2051</f>
        <v>2051</v>
      </c>
      <c r="H17" s="128">
        <f>1003-823</f>
        <v>180</v>
      </c>
      <c r="I17" s="128">
        <f>1050-J17</f>
        <v>510</v>
      </c>
      <c r="J17" s="117">
        <v>540</v>
      </c>
      <c r="K17" s="117">
        <v>266</v>
      </c>
      <c r="L17" s="128">
        <f t="shared" ref="L17:L18" si="15">G17-SUM(I17:K17)</f>
        <v>735</v>
      </c>
      <c r="M17" s="118">
        <f>803-N17</f>
        <v>828</v>
      </c>
      <c r="N17" s="118">
        <v>-25</v>
      </c>
      <c r="O17" s="121">
        <v>159</v>
      </c>
    </row>
    <row r="18" spans="1:15" ht="20.100000000000001" customHeight="1" thickBot="1">
      <c r="A18" s="7"/>
      <c r="B18" s="73" t="s">
        <v>24</v>
      </c>
      <c r="C18" s="166">
        <v>3988</v>
      </c>
      <c r="D18" s="128">
        <v>4530</v>
      </c>
      <c r="E18" s="128">
        <v>6139</v>
      </c>
      <c r="F18" s="128">
        <v>4933</v>
      </c>
      <c r="G18" s="126">
        <f>6210</f>
        <v>6210</v>
      </c>
      <c r="H18" s="128">
        <f>4933-3691</f>
        <v>1242</v>
      </c>
      <c r="I18" s="128">
        <f>2524-J18</f>
        <v>1102</v>
      </c>
      <c r="J18" s="117">
        <v>1422</v>
      </c>
      <c r="K18" s="117">
        <v>1120</v>
      </c>
      <c r="L18" s="128">
        <f t="shared" si="15"/>
        <v>2566</v>
      </c>
      <c r="M18" s="128">
        <f>2283-N18</f>
        <v>1050</v>
      </c>
      <c r="N18" s="128">
        <v>1233</v>
      </c>
      <c r="O18" s="120">
        <v>866</v>
      </c>
    </row>
    <row r="19" spans="1:15" ht="20.100000000000001" customHeight="1" thickBot="1">
      <c r="A19" s="7"/>
      <c r="B19" s="72" t="s">
        <v>25</v>
      </c>
      <c r="C19" s="223">
        <f t="shared" ref="C19" si="16">C15+C17-C18</f>
        <v>10156</v>
      </c>
      <c r="D19" s="223">
        <f t="shared" ref="D19" si="17">D15+D17-D18</f>
        <v>9203</v>
      </c>
      <c r="E19" s="223">
        <f t="shared" ref="E19" si="18">E15+E17-E18</f>
        <v>15040</v>
      </c>
      <c r="F19" s="223">
        <f t="shared" ref="F19" si="19">F15+F17-F18</f>
        <v>21021</v>
      </c>
      <c r="G19" s="241">
        <f t="shared" ref="G19" si="20">G15+G17-G18</f>
        <v>26920</v>
      </c>
      <c r="H19" s="223">
        <f t="shared" ref="H19:J19" si="21">H15+H17-H18</f>
        <v>-4003</v>
      </c>
      <c r="I19" s="223">
        <f t="shared" si="21"/>
        <v>6611</v>
      </c>
      <c r="J19" s="223">
        <f t="shared" si="21"/>
        <v>9218</v>
      </c>
      <c r="K19" s="223">
        <f>K15+K17-K18</f>
        <v>8963</v>
      </c>
      <c r="L19" s="223">
        <f t="shared" ref="L19:O19" si="22">L15+L17-L18</f>
        <v>2128</v>
      </c>
      <c r="M19" s="223">
        <f t="shared" si="22"/>
        <v>10407</v>
      </c>
      <c r="N19" s="223">
        <f t="shared" si="22"/>
        <v>11682</v>
      </c>
      <c r="O19" s="223">
        <f t="shared" si="22"/>
        <v>10212</v>
      </c>
    </row>
    <row r="20" spans="1:15" ht="20.100000000000001" customHeight="1">
      <c r="A20" s="15"/>
      <c r="B20" s="74"/>
      <c r="C20" s="49"/>
      <c r="D20" s="36"/>
      <c r="E20" s="36"/>
      <c r="F20" s="36"/>
      <c r="G20" s="36"/>
      <c r="H20" s="53"/>
      <c r="I20" s="40"/>
      <c r="J20" s="77"/>
      <c r="K20" s="22"/>
      <c r="L20" s="51"/>
      <c r="M20" s="40"/>
      <c r="N20" s="40"/>
      <c r="O20" s="110"/>
    </row>
    <row r="21" spans="1:15" ht="20.100000000000001" customHeight="1" thickBot="1">
      <c r="A21" s="7"/>
      <c r="B21" s="73" t="s">
        <v>26</v>
      </c>
      <c r="C21" s="166">
        <v>3302</v>
      </c>
      <c r="D21" s="128">
        <v>5501</v>
      </c>
      <c r="E21" s="128">
        <v>3311</v>
      </c>
      <c r="F21" s="128">
        <v>5760</v>
      </c>
      <c r="G21" s="126">
        <f>6375-475</f>
        <v>5900</v>
      </c>
      <c r="H21" s="128">
        <f>5760-388-4938</f>
        <v>434</v>
      </c>
      <c r="I21" s="250">
        <f>3546-J21</f>
        <v>1416</v>
      </c>
      <c r="J21" s="117">
        <v>2130</v>
      </c>
      <c r="K21" s="117">
        <v>1998</v>
      </c>
      <c r="L21" s="128">
        <f>G21-SUM(I21:K21)</f>
        <v>356</v>
      </c>
      <c r="M21" s="128">
        <f>3966-N21</f>
        <v>2006</v>
      </c>
      <c r="N21" s="128">
        <v>1960</v>
      </c>
      <c r="O21" s="120">
        <v>1420</v>
      </c>
    </row>
    <row r="22" spans="1:15" ht="20.100000000000001" customHeight="1" thickBot="1">
      <c r="A22" s="15"/>
      <c r="B22" s="72" t="s">
        <v>27</v>
      </c>
      <c r="C22" s="223">
        <f t="shared" ref="C22" si="23">C19-C21</f>
        <v>6854</v>
      </c>
      <c r="D22" s="223">
        <f t="shared" ref="D22" si="24">D19-D21</f>
        <v>3702</v>
      </c>
      <c r="E22" s="223">
        <f t="shared" ref="E22" si="25">E19-E21</f>
        <v>11729</v>
      </c>
      <c r="F22" s="223">
        <f t="shared" ref="F22" si="26">F19-F21</f>
        <v>15261</v>
      </c>
      <c r="G22" s="241">
        <f t="shared" ref="G22" si="27">G19-G21</f>
        <v>21020</v>
      </c>
      <c r="H22" s="223">
        <f t="shared" ref="H22:J22" si="28">H19-H21</f>
        <v>-4437</v>
      </c>
      <c r="I22" s="223">
        <f t="shared" si="28"/>
        <v>5195</v>
      </c>
      <c r="J22" s="223">
        <f t="shared" si="28"/>
        <v>7088</v>
      </c>
      <c r="K22" s="223">
        <f>K19-K21</f>
        <v>6965</v>
      </c>
      <c r="L22" s="223">
        <f t="shared" ref="L22:O22" si="29">L19-L21</f>
        <v>1772</v>
      </c>
      <c r="M22" s="223">
        <f t="shared" si="29"/>
        <v>8401</v>
      </c>
      <c r="N22" s="223">
        <f t="shared" si="29"/>
        <v>9722</v>
      </c>
      <c r="O22" s="223">
        <f t="shared" si="29"/>
        <v>8792</v>
      </c>
    </row>
    <row r="23" spans="1:15" ht="20.100000000000001" customHeight="1">
      <c r="A23" s="16"/>
      <c r="B23" s="74"/>
      <c r="C23" s="49"/>
      <c r="D23" s="36"/>
      <c r="E23" s="36"/>
      <c r="F23" s="36"/>
      <c r="G23" s="43"/>
      <c r="H23" s="51"/>
      <c r="I23" s="40"/>
      <c r="J23" s="77"/>
      <c r="K23" s="23"/>
      <c r="L23" s="51"/>
      <c r="M23" s="40"/>
      <c r="N23" s="40"/>
      <c r="O23" s="110"/>
    </row>
    <row r="24" spans="1:15" ht="20.100000000000001" customHeight="1">
      <c r="A24" s="7"/>
      <c r="B24" s="73" t="s">
        <v>86</v>
      </c>
      <c r="C24" s="166">
        <v>-1941</v>
      </c>
      <c r="D24" s="128">
        <v>-402</v>
      </c>
      <c r="E24" s="128">
        <v>-705</v>
      </c>
      <c r="F24" s="118">
        <v>-444</v>
      </c>
      <c r="G24" s="127">
        <v>208</v>
      </c>
      <c r="H24" s="118">
        <f>-444+416</f>
        <v>-28</v>
      </c>
      <c r="I24" s="118">
        <f>-115-J24</f>
        <v>-89</v>
      </c>
      <c r="J24" s="118">
        <v>-26</v>
      </c>
      <c r="K24" s="118">
        <v>-3</v>
      </c>
      <c r="L24" s="128">
        <f>G24-SUM(I24:K24)</f>
        <v>326</v>
      </c>
      <c r="M24" s="118">
        <f>132-N24</f>
        <v>97</v>
      </c>
      <c r="N24" s="118">
        <v>35</v>
      </c>
      <c r="O24" s="121">
        <v>-10</v>
      </c>
    </row>
    <row r="25" spans="1:15" ht="20.100000000000001" customHeight="1" thickBot="1">
      <c r="A25" s="7"/>
      <c r="B25" s="74"/>
      <c r="C25" s="49"/>
      <c r="D25" s="36"/>
      <c r="E25" s="36"/>
      <c r="F25" s="36"/>
      <c r="G25" s="43"/>
      <c r="H25" s="51"/>
      <c r="I25" s="40"/>
      <c r="J25" s="77"/>
      <c r="K25" s="22"/>
      <c r="L25" s="51"/>
      <c r="M25" s="40"/>
      <c r="N25" s="40"/>
      <c r="O25" s="110"/>
    </row>
    <row r="26" spans="1:15" ht="20.100000000000001" customHeight="1" thickBot="1">
      <c r="A26" s="15"/>
      <c r="B26" s="72" t="s">
        <v>28</v>
      </c>
      <c r="C26" s="223">
        <f t="shared" ref="C26:G26" si="30">C22+C24</f>
        <v>4913</v>
      </c>
      <c r="D26" s="223">
        <f t="shared" si="30"/>
        <v>3300</v>
      </c>
      <c r="E26" s="223">
        <f t="shared" si="30"/>
        <v>11024</v>
      </c>
      <c r="F26" s="223">
        <f t="shared" si="30"/>
        <v>14817</v>
      </c>
      <c r="G26" s="241">
        <f t="shared" si="30"/>
        <v>21228</v>
      </c>
      <c r="H26" s="223">
        <f t="shared" ref="H26:J26" si="31">H22+H24</f>
        <v>-4465</v>
      </c>
      <c r="I26" s="223">
        <f t="shared" si="31"/>
        <v>5106</v>
      </c>
      <c r="J26" s="223">
        <f t="shared" si="31"/>
        <v>7062</v>
      </c>
      <c r="K26" s="223">
        <f>K22+K24</f>
        <v>6962</v>
      </c>
      <c r="L26" s="223">
        <f t="shared" ref="L26:O26" si="32">L22+L24</f>
        <v>2098</v>
      </c>
      <c r="M26" s="223">
        <f t="shared" si="32"/>
        <v>8498</v>
      </c>
      <c r="N26" s="223">
        <f t="shared" si="32"/>
        <v>9757</v>
      </c>
      <c r="O26" s="223">
        <f t="shared" si="32"/>
        <v>8782</v>
      </c>
    </row>
    <row r="27" spans="1:15" ht="20.100000000000001" customHeight="1">
      <c r="A27" s="7"/>
      <c r="B27" s="74"/>
      <c r="C27" s="49"/>
      <c r="D27" s="36"/>
      <c r="E27" s="36"/>
      <c r="F27" s="36"/>
      <c r="G27" s="36"/>
      <c r="H27" s="53"/>
      <c r="I27" s="40"/>
      <c r="J27" s="22"/>
      <c r="K27" s="22"/>
      <c r="L27" s="22"/>
      <c r="M27" s="40"/>
      <c r="N27" s="40"/>
      <c r="O27" s="110"/>
    </row>
    <row r="28" spans="1:15" ht="20.100000000000001" customHeight="1">
      <c r="A28" s="7"/>
      <c r="B28" s="74" t="s">
        <v>29</v>
      </c>
      <c r="C28" s="46"/>
      <c r="D28" s="45"/>
      <c r="E28" s="45"/>
      <c r="F28" s="45"/>
      <c r="G28" s="45"/>
      <c r="H28" s="53"/>
      <c r="I28" s="40"/>
      <c r="J28" s="22"/>
      <c r="K28" s="22"/>
      <c r="L28" s="22"/>
      <c r="M28" s="29"/>
      <c r="N28" s="29"/>
      <c r="O28" s="110"/>
    </row>
    <row r="29" spans="1:15" ht="20.100000000000001" customHeight="1">
      <c r="A29" s="7"/>
      <c r="B29" s="74" t="s">
        <v>30</v>
      </c>
      <c r="C29" s="164">
        <v>5103</v>
      </c>
      <c r="D29" s="148">
        <v>2557</v>
      </c>
      <c r="E29" s="148">
        <v>10206</v>
      </c>
      <c r="F29" s="148">
        <v>14964</v>
      </c>
      <c r="G29" s="171">
        <f>23207-2498+475-2330+576</f>
        <v>19430</v>
      </c>
      <c r="H29" s="148">
        <f>14964-2041+388-2101+343-15165</f>
        <v>-3612</v>
      </c>
      <c r="I29" s="148">
        <f>10934-J29</f>
        <v>4939</v>
      </c>
      <c r="J29" s="119">
        <v>5995</v>
      </c>
      <c r="K29" s="119">
        <v>6434</v>
      </c>
      <c r="L29" s="128">
        <f t="shared" ref="L29:L30" si="33">G29-SUM(I29:K29)</f>
        <v>2062</v>
      </c>
      <c r="M29" s="148">
        <f>16678-N29</f>
        <v>7896</v>
      </c>
      <c r="N29" s="148">
        <v>8782</v>
      </c>
      <c r="O29" s="122">
        <v>7844</v>
      </c>
    </row>
    <row r="30" spans="1:15" ht="20.100000000000001" customHeight="1">
      <c r="A30" s="7"/>
      <c r="B30" s="74" t="s">
        <v>31</v>
      </c>
      <c r="C30" s="164">
        <v>-190</v>
      </c>
      <c r="D30" s="148">
        <v>743</v>
      </c>
      <c r="E30" s="149">
        <v>818</v>
      </c>
      <c r="F30" s="149">
        <v>-147</v>
      </c>
      <c r="G30" s="133">
        <f>1798</f>
        <v>1798</v>
      </c>
      <c r="H30" s="149">
        <f>-147-706</f>
        <v>-853</v>
      </c>
      <c r="I30" s="251">
        <f>1234-J30</f>
        <v>167</v>
      </c>
      <c r="J30" s="119">
        <v>1067</v>
      </c>
      <c r="K30" s="119">
        <v>528</v>
      </c>
      <c r="L30" s="128">
        <f t="shared" si="33"/>
        <v>36</v>
      </c>
      <c r="M30" s="149">
        <f>1577-N30</f>
        <v>602</v>
      </c>
      <c r="N30" s="149">
        <v>975</v>
      </c>
      <c r="O30" s="123">
        <v>938</v>
      </c>
    </row>
    <row r="31" spans="1:15" ht="20.100000000000001" customHeight="1">
      <c r="A31" s="7"/>
      <c r="B31" s="72"/>
      <c r="C31" s="49"/>
      <c r="D31" s="34"/>
      <c r="E31" s="34"/>
      <c r="F31" s="34"/>
      <c r="G31" s="47"/>
      <c r="H31" s="179"/>
      <c r="I31" s="35"/>
      <c r="J31" s="22"/>
      <c r="K31" s="22"/>
      <c r="L31" s="179"/>
      <c r="M31" s="35"/>
      <c r="N31" s="35"/>
      <c r="O31" s="111"/>
    </row>
    <row r="32" spans="1:15" ht="20.100000000000001" customHeight="1">
      <c r="A32" s="7"/>
      <c r="B32" s="72" t="s">
        <v>32</v>
      </c>
      <c r="C32" s="55"/>
      <c r="D32" s="34"/>
      <c r="E32" s="34"/>
      <c r="F32" s="34"/>
      <c r="G32" s="47"/>
      <c r="H32" s="179"/>
      <c r="I32" s="36"/>
      <c r="J32" s="23"/>
      <c r="K32" s="23"/>
      <c r="L32" s="179"/>
      <c r="M32" s="40"/>
      <c r="N32" s="40"/>
      <c r="O32" s="110"/>
    </row>
    <row r="33" spans="1:15" ht="20.100000000000001" customHeight="1">
      <c r="A33" s="7"/>
      <c r="B33" s="73" t="s">
        <v>112</v>
      </c>
      <c r="C33" s="195">
        <v>271</v>
      </c>
      <c r="D33" s="189">
        <v>1641</v>
      </c>
      <c r="E33" s="189">
        <v>4996</v>
      </c>
      <c r="F33" s="118">
        <v>3726</v>
      </c>
      <c r="G33" s="127">
        <f>-1502-652</f>
        <v>-2154</v>
      </c>
      <c r="H33" s="158">
        <f>3726-6889+313</f>
        <v>-2850</v>
      </c>
      <c r="I33" s="128">
        <f>-1009-J33</f>
        <v>-266</v>
      </c>
      <c r="J33" s="174">
        <v>-743</v>
      </c>
      <c r="K33" s="174">
        <v>612</v>
      </c>
      <c r="L33" s="128">
        <f>G33-SUM(I33:K33)</f>
        <v>-1757</v>
      </c>
      <c r="M33" s="231">
        <f>-2713-N33</f>
        <v>-2368</v>
      </c>
      <c r="N33" s="231">
        <v>-345</v>
      </c>
      <c r="O33" s="120">
        <v>2272</v>
      </c>
    </row>
    <row r="34" spans="1:15" ht="20.100000000000001" customHeight="1" thickBot="1">
      <c r="B34" s="72"/>
      <c r="C34" s="49"/>
      <c r="D34" s="40"/>
      <c r="E34" s="40"/>
      <c r="F34" s="40"/>
      <c r="G34" s="40"/>
      <c r="H34" s="53"/>
      <c r="I34" s="40"/>
      <c r="J34" s="77"/>
      <c r="K34" s="22"/>
      <c r="L34" s="40"/>
      <c r="M34" s="40"/>
      <c r="N34" s="40"/>
      <c r="O34" s="110"/>
    </row>
    <row r="35" spans="1:15" ht="20.100000000000001" customHeight="1" thickBot="1">
      <c r="B35" s="72" t="s">
        <v>33</v>
      </c>
      <c r="C35" s="223">
        <f t="shared" ref="C35:F35" si="34">C26+C33</f>
        <v>5184</v>
      </c>
      <c r="D35" s="223">
        <f t="shared" si="34"/>
        <v>4941</v>
      </c>
      <c r="E35" s="223">
        <f t="shared" si="34"/>
        <v>16020</v>
      </c>
      <c r="F35" s="223">
        <f t="shared" si="34"/>
        <v>18543</v>
      </c>
      <c r="G35" s="241">
        <f>G26+G33</f>
        <v>19074</v>
      </c>
      <c r="H35" s="223">
        <f t="shared" ref="H35:J35" si="35">H26+H33</f>
        <v>-7315</v>
      </c>
      <c r="I35" s="223">
        <f t="shared" si="35"/>
        <v>4840</v>
      </c>
      <c r="J35" s="223">
        <f t="shared" si="35"/>
        <v>6319</v>
      </c>
      <c r="K35" s="223">
        <f>K26+K33</f>
        <v>7574</v>
      </c>
      <c r="L35" s="223">
        <f t="shared" ref="L35:O35" si="36">L26+L33</f>
        <v>341</v>
      </c>
      <c r="M35" s="223">
        <f t="shared" si="36"/>
        <v>6130</v>
      </c>
      <c r="N35" s="223">
        <f t="shared" si="36"/>
        <v>9412</v>
      </c>
      <c r="O35" s="223">
        <f t="shared" si="36"/>
        <v>11054</v>
      </c>
    </row>
    <row r="36" spans="1:15" ht="20.100000000000001" customHeight="1">
      <c r="B36" s="74" t="s">
        <v>29</v>
      </c>
      <c r="C36" s="49"/>
      <c r="D36" s="40"/>
      <c r="E36" s="40"/>
      <c r="F36" s="40"/>
      <c r="G36" s="41"/>
      <c r="H36" s="40"/>
      <c r="I36" s="36"/>
      <c r="J36" s="77"/>
      <c r="K36" s="22"/>
      <c r="L36" s="40"/>
      <c r="M36" s="40"/>
      <c r="N36" s="40"/>
      <c r="O36" s="110"/>
    </row>
    <row r="37" spans="1:15" ht="20.100000000000001" customHeight="1">
      <c r="B37" s="74" t="s">
        <v>30</v>
      </c>
      <c r="C37" s="166">
        <v>5830</v>
      </c>
      <c r="D37" s="128">
        <v>3433</v>
      </c>
      <c r="E37" s="128">
        <v>16041</v>
      </c>
      <c r="F37" s="128">
        <v>18597</v>
      </c>
      <c r="G37" s="126">
        <f>22135-2498+475-2330+576-652</f>
        <v>17706</v>
      </c>
      <c r="H37" s="158">
        <f>18597-2041+388-2101+343-6889-15274+313</f>
        <v>-6664</v>
      </c>
      <c r="I37" s="128">
        <f>9500-J37</f>
        <v>4679</v>
      </c>
      <c r="J37" s="201">
        <v>4821</v>
      </c>
      <c r="K37" s="117">
        <v>7169</v>
      </c>
      <c r="L37" s="128">
        <f t="shared" ref="L37:L38" si="37">G37-SUM(I37:K37)</f>
        <v>1037</v>
      </c>
      <c r="M37" s="128">
        <f>14532-N37</f>
        <v>5299</v>
      </c>
      <c r="N37" s="128">
        <v>9233</v>
      </c>
      <c r="O37" s="242">
        <v>10063</v>
      </c>
    </row>
    <row r="38" spans="1:15" ht="20.100000000000001" customHeight="1">
      <c r="B38" s="74" t="s">
        <v>31</v>
      </c>
      <c r="C38" s="166">
        <v>-646</v>
      </c>
      <c r="D38" s="118">
        <v>1508</v>
      </c>
      <c r="E38" s="118">
        <v>-21</v>
      </c>
      <c r="F38" s="128">
        <v>-54</v>
      </c>
      <c r="G38" s="127">
        <f>1368</f>
        <v>1368</v>
      </c>
      <c r="H38" s="128">
        <f>-54-284</f>
        <v>-338</v>
      </c>
      <c r="I38" s="118">
        <f>1659-J38</f>
        <v>161</v>
      </c>
      <c r="J38" s="202">
        <v>1498</v>
      </c>
      <c r="K38" s="117">
        <v>405</v>
      </c>
      <c r="L38" s="128">
        <f t="shared" si="37"/>
        <v>-696</v>
      </c>
      <c r="M38" s="118">
        <f>1010-N38</f>
        <v>831</v>
      </c>
      <c r="N38" s="118">
        <v>179</v>
      </c>
      <c r="O38" s="121">
        <v>991</v>
      </c>
    </row>
    <row r="39" spans="1:15" ht="20.100000000000001" customHeight="1">
      <c r="B39" s="72"/>
      <c r="C39" s="46"/>
      <c r="D39" s="36"/>
      <c r="E39" s="51"/>
      <c r="F39" s="36"/>
      <c r="G39" s="43"/>
      <c r="H39" s="51"/>
      <c r="I39" s="35"/>
      <c r="J39" s="203"/>
      <c r="K39" s="23"/>
      <c r="L39" s="23"/>
      <c r="M39" s="35"/>
      <c r="N39" s="35"/>
      <c r="O39" s="110"/>
    </row>
    <row r="40" spans="1:15" ht="20.100000000000001" customHeight="1">
      <c r="B40" s="72" t="s">
        <v>34</v>
      </c>
      <c r="C40" s="46"/>
      <c r="D40" s="36"/>
      <c r="E40" s="40"/>
      <c r="F40" s="36"/>
      <c r="G40" s="43"/>
      <c r="H40" s="51"/>
      <c r="I40" s="36"/>
      <c r="J40" s="203"/>
      <c r="K40" s="22"/>
      <c r="L40" s="22"/>
      <c r="M40" s="36"/>
      <c r="N40" s="36"/>
      <c r="O40" s="110"/>
    </row>
    <row r="41" spans="1:15" ht="20.100000000000001" customHeight="1">
      <c r="B41" s="75" t="s">
        <v>35</v>
      </c>
      <c r="C41" s="49"/>
      <c r="D41" s="40"/>
      <c r="E41" s="40"/>
      <c r="F41" s="40"/>
      <c r="G41" s="41"/>
      <c r="H41" s="40"/>
      <c r="I41" s="36"/>
      <c r="J41" s="204"/>
      <c r="K41" s="23"/>
      <c r="L41" s="23"/>
      <c r="M41" s="40"/>
      <c r="N41" s="40"/>
      <c r="O41" s="110"/>
    </row>
    <row r="42" spans="1:15" ht="20.100000000000001" customHeight="1">
      <c r="B42" s="73" t="s">
        <v>36</v>
      </c>
      <c r="C42" s="167">
        <v>0.44</v>
      </c>
      <c r="D42" s="177">
        <v>0.24</v>
      </c>
      <c r="E42" s="118">
        <v>0.75</v>
      </c>
      <c r="F42" s="118">
        <v>0.97</v>
      </c>
      <c r="G42" s="127">
        <v>1.34</v>
      </c>
      <c r="H42" s="118">
        <v>-0.28000000000000003</v>
      </c>
      <c r="I42" s="252">
        <f>0.78-J42</f>
        <v>0.33</v>
      </c>
      <c r="J42" s="205">
        <v>0.45</v>
      </c>
      <c r="K42" s="205">
        <v>0.46</v>
      </c>
      <c r="L42" s="177">
        <v>0.1</v>
      </c>
      <c r="M42" s="118">
        <f>1.16-N42</f>
        <v>0.53999999999999992</v>
      </c>
      <c r="N42" s="118">
        <v>0.62</v>
      </c>
      <c r="O42" s="124">
        <v>0.56000000000000005</v>
      </c>
    </row>
    <row r="43" spans="1:15" ht="20.100000000000001" customHeight="1">
      <c r="B43" s="73" t="s">
        <v>37</v>
      </c>
      <c r="C43" s="167">
        <v>0.44</v>
      </c>
      <c r="D43" s="177">
        <v>0.24</v>
      </c>
      <c r="E43" s="118">
        <v>0.75</v>
      </c>
      <c r="F43" s="118">
        <v>0.97</v>
      </c>
      <c r="G43" s="127">
        <v>1.34</v>
      </c>
      <c r="H43" s="118">
        <v>-0.28000000000000003</v>
      </c>
      <c r="I43" s="252">
        <f>0.78-J43</f>
        <v>0.33</v>
      </c>
      <c r="J43" s="205">
        <v>0.45</v>
      </c>
      <c r="K43" s="205">
        <v>0.46</v>
      </c>
      <c r="L43" s="177">
        <v>0.1</v>
      </c>
      <c r="M43" s="118">
        <f>1.16-N43</f>
        <v>0.53999999999999992</v>
      </c>
      <c r="N43" s="118">
        <v>0.62</v>
      </c>
      <c r="O43" s="124">
        <v>0.56000000000000005</v>
      </c>
    </row>
    <row r="44" spans="1:15" ht="20.100000000000001" customHeight="1">
      <c r="B44" s="75" t="s">
        <v>38</v>
      </c>
      <c r="C44" s="49"/>
      <c r="D44" s="40"/>
      <c r="E44" s="36"/>
      <c r="F44" s="36"/>
      <c r="G44" s="43"/>
      <c r="H44" s="51"/>
      <c r="I44" s="36"/>
      <c r="J44" s="203"/>
      <c r="K44" s="203"/>
      <c r="L44" s="51"/>
      <c r="M44" s="40"/>
      <c r="N44" s="40"/>
      <c r="O44" s="110"/>
    </row>
    <row r="45" spans="1:15" ht="20.100000000000001" customHeight="1">
      <c r="B45" s="73" t="s">
        <v>36</v>
      </c>
      <c r="C45" s="167">
        <v>0.31</v>
      </c>
      <c r="D45" s="118">
        <v>0.21</v>
      </c>
      <c r="E45" s="118">
        <v>0.7</v>
      </c>
      <c r="F45" s="118">
        <v>0.94</v>
      </c>
      <c r="G45" s="180">
        <v>1.35</v>
      </c>
      <c r="H45" s="118">
        <v>-0.28000000000000003</v>
      </c>
      <c r="I45" s="252">
        <f>0.77-J45</f>
        <v>0.32</v>
      </c>
      <c r="J45" s="205">
        <v>0.45</v>
      </c>
      <c r="K45" s="205">
        <v>0.46</v>
      </c>
      <c r="L45" s="177">
        <v>0.12</v>
      </c>
      <c r="M45" s="118">
        <f>1.17-N45</f>
        <v>0.54999999999999993</v>
      </c>
      <c r="N45" s="118">
        <v>0.62</v>
      </c>
      <c r="O45" s="124">
        <v>0.56000000000000005</v>
      </c>
    </row>
    <row r="46" spans="1:15" ht="20.100000000000001" customHeight="1" thickBot="1">
      <c r="B46" s="76" t="s">
        <v>37</v>
      </c>
      <c r="C46" s="196">
        <v>0.31</v>
      </c>
      <c r="D46" s="150">
        <v>0.21</v>
      </c>
      <c r="E46" s="150">
        <v>0.7</v>
      </c>
      <c r="F46" s="150">
        <v>0.94</v>
      </c>
      <c r="G46" s="181">
        <v>1.35</v>
      </c>
      <c r="H46" s="150">
        <v>-0.28000000000000003</v>
      </c>
      <c r="I46" s="253">
        <f>0.77-J46</f>
        <v>0.32</v>
      </c>
      <c r="J46" s="206">
        <v>0.45</v>
      </c>
      <c r="K46" s="206">
        <v>0.46</v>
      </c>
      <c r="L46" s="178">
        <v>0.12</v>
      </c>
      <c r="M46" s="150">
        <f>1.17-N46</f>
        <v>0.54999999999999993</v>
      </c>
      <c r="N46" s="150">
        <v>0.62</v>
      </c>
      <c r="O46" s="125">
        <v>0.56000000000000005</v>
      </c>
    </row>
    <row r="47" spans="1:15" ht="20.100000000000001" customHeight="1">
      <c r="H47" s="90" t="s">
        <v>96</v>
      </c>
      <c r="I47" s="91"/>
      <c r="J47" s="91"/>
      <c r="K47" s="91"/>
    </row>
    <row r="48" spans="1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4">
    <mergeCell ref="C4:G4"/>
    <mergeCell ref="B4:B5"/>
    <mergeCell ref="D3:G3"/>
    <mergeCell ref="H4:O4"/>
  </mergeCells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3"/>
  <sheetViews>
    <sheetView zoomScale="120" zoomScaleNormal="120" workbookViewId="0">
      <pane xSplit="2" ySplit="5" topLeftCell="D6" activePane="bottomRight" state="frozen"/>
      <selection pane="topRight" activeCell="C1" sqref="C1"/>
      <selection pane="bottomLeft" activeCell="A5" sqref="A5"/>
      <selection pane="bottomRight" activeCell="R6" sqref="R6"/>
    </sheetView>
  </sheetViews>
  <sheetFormatPr defaultColWidth="9" defaultRowHeight="14.25"/>
  <cols>
    <col min="1" max="1" width="3.375" style="10" customWidth="1"/>
    <col min="2" max="2" width="31.625" style="10" customWidth="1"/>
    <col min="3" max="13" width="10.625" style="10" customWidth="1"/>
    <col min="14" max="14" width="10.5" style="10" customWidth="1"/>
    <col min="15" max="15" width="9.25" style="10" customWidth="1"/>
    <col min="16" max="16384" width="9" style="10"/>
  </cols>
  <sheetData>
    <row r="1" spans="1:15" ht="59.25" customHeight="1">
      <c r="A1" s="7"/>
      <c r="B1" s="65"/>
      <c r="C1" s="18"/>
      <c r="D1" s="18"/>
      <c r="E1" s="273" t="s">
        <v>4</v>
      </c>
      <c r="F1" s="273"/>
      <c r="G1" s="273"/>
      <c r="H1" s="273"/>
      <c r="I1" s="273"/>
      <c r="J1" s="273"/>
      <c r="K1" s="273"/>
      <c r="L1" s="273"/>
      <c r="M1" s="227"/>
      <c r="N1" s="18"/>
      <c r="O1" s="21"/>
    </row>
    <row r="2" spans="1:15" ht="39.75" customHeight="1">
      <c r="A2" s="7"/>
      <c r="B2" s="66"/>
      <c r="C2" s="67"/>
      <c r="D2" s="67"/>
      <c r="E2" s="82" t="s">
        <v>13</v>
      </c>
      <c r="F2" s="68"/>
      <c r="G2" s="68"/>
      <c r="H2" s="68"/>
      <c r="I2" s="68"/>
      <c r="J2" s="68"/>
      <c r="K2" s="68"/>
      <c r="L2" s="69"/>
      <c r="M2" s="69"/>
      <c r="N2" s="67"/>
      <c r="O2" s="70"/>
    </row>
    <row r="3" spans="1:15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4.95" customHeight="1" thickBot="1">
      <c r="A4" s="7"/>
      <c r="B4" s="274" t="s">
        <v>1</v>
      </c>
      <c r="C4" s="99"/>
      <c r="D4" s="267" t="s">
        <v>95</v>
      </c>
      <c r="E4" s="267"/>
      <c r="F4" s="267"/>
      <c r="G4" s="100"/>
      <c r="H4" s="262" t="s">
        <v>94</v>
      </c>
      <c r="I4" s="263"/>
      <c r="J4" s="263"/>
      <c r="K4" s="276"/>
      <c r="L4" s="262" t="s">
        <v>94</v>
      </c>
      <c r="M4" s="263"/>
      <c r="N4" s="264"/>
      <c r="O4" s="7"/>
    </row>
    <row r="5" spans="1:15" ht="24.95" customHeight="1" thickBot="1">
      <c r="A5" s="7"/>
      <c r="B5" s="275"/>
      <c r="C5" s="208" t="s">
        <v>10</v>
      </c>
      <c r="D5" s="209" t="s">
        <v>9</v>
      </c>
      <c r="E5" s="209" t="s">
        <v>8</v>
      </c>
      <c r="F5" s="209" t="s">
        <v>130</v>
      </c>
      <c r="G5" s="210" t="s">
        <v>129</v>
      </c>
      <c r="H5" s="211" t="s">
        <v>144</v>
      </c>
      <c r="I5" s="212" t="s">
        <v>145</v>
      </c>
      <c r="J5" s="212" t="s">
        <v>146</v>
      </c>
      <c r="K5" s="213" t="s">
        <v>147</v>
      </c>
      <c r="L5" s="211" t="s">
        <v>151</v>
      </c>
      <c r="M5" s="225" t="s">
        <v>152</v>
      </c>
      <c r="N5" s="226" t="s">
        <v>153</v>
      </c>
      <c r="O5" s="7"/>
    </row>
    <row r="6" spans="1:15" ht="24.95" customHeight="1">
      <c r="A6" s="2"/>
      <c r="B6" s="59" t="s">
        <v>72</v>
      </c>
      <c r="C6" s="53"/>
      <c r="D6" s="22"/>
      <c r="E6" s="22"/>
      <c r="F6" s="22"/>
      <c r="G6" s="54"/>
      <c r="H6" s="53"/>
      <c r="I6" s="22"/>
      <c r="J6" s="22"/>
      <c r="K6" s="54"/>
      <c r="L6" s="53"/>
      <c r="M6" s="22"/>
      <c r="N6" s="54"/>
      <c r="O6" s="19"/>
    </row>
    <row r="7" spans="1:15" ht="24.95" customHeight="1">
      <c r="A7" s="2"/>
      <c r="B7" s="60" t="s">
        <v>113</v>
      </c>
      <c r="C7" s="166">
        <v>10156</v>
      </c>
      <c r="D7" s="128">
        <v>9203</v>
      </c>
      <c r="E7" s="128">
        <v>15040</v>
      </c>
      <c r="F7" s="128">
        <v>21021</v>
      </c>
      <c r="G7" s="126">
        <v>26712</v>
      </c>
      <c r="H7" s="168">
        <f>6611</f>
        <v>6611</v>
      </c>
      <c r="I7" s="117">
        <v>15829</v>
      </c>
      <c r="J7" s="117">
        <v>24792</v>
      </c>
      <c r="K7" s="126">
        <v>26712</v>
      </c>
      <c r="L7" s="257">
        <f>10407</f>
        <v>10407</v>
      </c>
      <c r="M7" s="243">
        <v>22089</v>
      </c>
      <c r="N7" s="135">
        <v>32301</v>
      </c>
      <c r="O7" s="7"/>
    </row>
    <row r="8" spans="1:15" ht="24.95" customHeight="1">
      <c r="A8" s="2"/>
      <c r="B8" s="60" t="s">
        <v>73</v>
      </c>
      <c r="C8" s="46"/>
      <c r="D8" s="36"/>
      <c r="E8" s="36"/>
      <c r="F8" s="51"/>
      <c r="G8" s="43"/>
      <c r="H8" s="53"/>
      <c r="I8" s="22"/>
      <c r="J8" s="22"/>
      <c r="K8" s="43"/>
      <c r="L8" s="258"/>
      <c r="M8" s="244"/>
      <c r="N8" s="114"/>
      <c r="O8" s="19"/>
    </row>
    <row r="9" spans="1:15" ht="24.95" customHeight="1">
      <c r="A9" s="2"/>
      <c r="B9" s="61" t="s">
        <v>74</v>
      </c>
      <c r="C9" s="163">
        <v>5922</v>
      </c>
      <c r="D9" s="148">
        <v>7235</v>
      </c>
      <c r="E9" s="148">
        <v>9095</v>
      </c>
      <c r="F9" s="183">
        <v>10187</v>
      </c>
      <c r="G9" s="171">
        <v>13812</v>
      </c>
      <c r="H9" s="256">
        <f>2719</f>
        <v>2719</v>
      </c>
      <c r="I9" s="148">
        <v>6444</v>
      </c>
      <c r="J9" s="148">
        <v>8931</v>
      </c>
      <c r="K9" s="171">
        <v>13812</v>
      </c>
      <c r="L9" s="259">
        <f>3442</f>
        <v>3442</v>
      </c>
      <c r="M9" s="245">
        <v>6678</v>
      </c>
      <c r="N9" s="132">
        <v>9719</v>
      </c>
      <c r="O9" s="7"/>
    </row>
    <row r="10" spans="1:15" ht="24.95" customHeight="1">
      <c r="A10" s="3"/>
      <c r="B10" s="61" t="s">
        <v>114</v>
      </c>
      <c r="C10" s="163">
        <v>3387</v>
      </c>
      <c r="D10" s="149">
        <v>2522</v>
      </c>
      <c r="E10" s="148">
        <v>2450</v>
      </c>
      <c r="F10" s="148">
        <v>3166</v>
      </c>
      <c r="G10" s="171">
        <f>3704-705</f>
        <v>2999</v>
      </c>
      <c r="H10" s="163">
        <v>735</v>
      </c>
      <c r="I10" s="148">
        <v>1445</v>
      </c>
      <c r="J10" s="148">
        <v>2173</v>
      </c>
      <c r="K10" s="171">
        <f>3704-705</f>
        <v>2999</v>
      </c>
      <c r="L10" s="141">
        <v>399</v>
      </c>
      <c r="M10" s="246">
        <v>916</v>
      </c>
      <c r="N10" s="132">
        <v>1665</v>
      </c>
      <c r="O10" s="7"/>
    </row>
    <row r="11" spans="1:15" ht="24.95" customHeight="1">
      <c r="A11" s="3"/>
      <c r="B11" s="89" t="s">
        <v>115</v>
      </c>
      <c r="C11" s="164">
        <v>-656</v>
      </c>
      <c r="D11" s="149">
        <v>-300</v>
      </c>
      <c r="E11" s="149">
        <v>-1024</v>
      </c>
      <c r="F11" s="149">
        <v>-813</v>
      </c>
      <c r="G11" s="133">
        <v>-1073</v>
      </c>
      <c r="H11" s="164">
        <v>-79</v>
      </c>
      <c r="I11" s="149">
        <v>-664</v>
      </c>
      <c r="J11" s="149">
        <v>-749</v>
      </c>
      <c r="K11" s="133">
        <v>-1073</v>
      </c>
      <c r="L11" s="142">
        <v>-154</v>
      </c>
      <c r="M11" s="247">
        <v>-81</v>
      </c>
      <c r="N11" s="133">
        <v>-81</v>
      </c>
      <c r="O11" s="7"/>
    </row>
    <row r="12" spans="1:15" ht="24.95" customHeight="1">
      <c r="A12" s="2"/>
      <c r="B12" s="61" t="s">
        <v>75</v>
      </c>
      <c r="C12" s="163">
        <v>-4945</v>
      </c>
      <c r="D12" s="149">
        <v>-7539</v>
      </c>
      <c r="E12" s="149">
        <v>-5088</v>
      </c>
      <c r="F12" s="183">
        <v>-5648</v>
      </c>
      <c r="G12" s="183">
        <v>3720</v>
      </c>
      <c r="H12" s="164">
        <v>1575</v>
      </c>
      <c r="I12" s="149">
        <v>3204</v>
      </c>
      <c r="J12" s="149">
        <v>5184</v>
      </c>
      <c r="K12" s="183">
        <v>3720</v>
      </c>
      <c r="L12" s="140">
        <v>-2761</v>
      </c>
      <c r="M12" s="245">
        <v>-304</v>
      </c>
      <c r="N12" s="132">
        <v>-1706</v>
      </c>
      <c r="O12" s="19"/>
    </row>
    <row r="13" spans="1:15" ht="24.95" customHeight="1">
      <c r="A13" s="2"/>
      <c r="B13" s="61" t="s">
        <v>76</v>
      </c>
      <c r="C13" s="163">
        <v>-4005</v>
      </c>
      <c r="D13" s="148">
        <v>-4430</v>
      </c>
      <c r="E13" s="148">
        <v>-10509</v>
      </c>
      <c r="F13" s="183">
        <v>-20975</v>
      </c>
      <c r="G13" s="171">
        <v>4894</v>
      </c>
      <c r="H13" s="163">
        <v>3756</v>
      </c>
      <c r="I13" s="148">
        <v>-1053</v>
      </c>
      <c r="J13" s="148">
        <v>-1979</v>
      </c>
      <c r="K13" s="171">
        <v>4894</v>
      </c>
      <c r="L13" s="140">
        <v>4273</v>
      </c>
      <c r="M13" s="245">
        <v>7576</v>
      </c>
      <c r="N13" s="132">
        <v>17597</v>
      </c>
      <c r="O13" s="7"/>
    </row>
    <row r="14" spans="1:15" ht="24.95" customHeight="1">
      <c r="A14" s="2"/>
      <c r="B14" s="61" t="s">
        <v>77</v>
      </c>
      <c r="C14" s="163">
        <v>9028</v>
      </c>
      <c r="D14" s="148">
        <v>4107</v>
      </c>
      <c r="E14" s="148">
        <v>2355</v>
      </c>
      <c r="F14" s="148">
        <v>10064</v>
      </c>
      <c r="G14" s="171">
        <v>-198</v>
      </c>
      <c r="H14" s="163">
        <v>-12294</v>
      </c>
      <c r="I14" s="148">
        <v>-189</v>
      </c>
      <c r="J14" s="148">
        <v>-7006</v>
      </c>
      <c r="K14" s="171">
        <v>-198</v>
      </c>
      <c r="L14" s="140">
        <v>1905</v>
      </c>
      <c r="M14" s="245">
        <v>-6341</v>
      </c>
      <c r="N14" s="132">
        <v>-15505</v>
      </c>
      <c r="O14" s="19"/>
    </row>
    <row r="15" spans="1:15" ht="24.95" customHeight="1">
      <c r="A15" s="2"/>
      <c r="B15" s="61" t="s">
        <v>78</v>
      </c>
      <c r="C15" s="163">
        <v>2228</v>
      </c>
      <c r="D15" s="148">
        <v>363</v>
      </c>
      <c r="E15" s="148">
        <v>-192</v>
      </c>
      <c r="F15" s="149">
        <v>-909</v>
      </c>
      <c r="G15" s="133">
        <v>-2203</v>
      </c>
      <c r="H15" s="163">
        <v>172</v>
      </c>
      <c r="I15" s="148">
        <v>500</v>
      </c>
      <c r="J15" s="148">
        <v>499</v>
      </c>
      <c r="K15" s="133">
        <v>-2203</v>
      </c>
      <c r="L15" s="141">
        <v>-807</v>
      </c>
      <c r="M15" s="246">
        <v>-3494</v>
      </c>
      <c r="N15" s="134">
        <v>-5182</v>
      </c>
      <c r="O15" s="19"/>
    </row>
    <row r="16" spans="1:15" ht="24.95" customHeight="1">
      <c r="A16" s="2"/>
      <c r="B16" s="89" t="s">
        <v>116</v>
      </c>
      <c r="C16" s="193">
        <v>271</v>
      </c>
      <c r="D16" s="149">
        <v>1569</v>
      </c>
      <c r="E16" s="149">
        <v>-2408</v>
      </c>
      <c r="F16" s="148">
        <v>3726</v>
      </c>
      <c r="G16" s="171">
        <v>1155</v>
      </c>
      <c r="H16" s="163">
        <v>-266</v>
      </c>
      <c r="I16" s="148">
        <v>-1351</v>
      </c>
      <c r="J16" s="148">
        <v>-422</v>
      </c>
      <c r="K16" s="171">
        <v>1155</v>
      </c>
      <c r="L16" s="141">
        <v>-1456</v>
      </c>
      <c r="M16" s="246">
        <v>-2713</v>
      </c>
      <c r="N16" s="134">
        <v>-441</v>
      </c>
      <c r="O16" s="19"/>
    </row>
    <row r="17" spans="1:25">
      <c r="A17" s="2"/>
      <c r="B17" s="62" t="s">
        <v>79</v>
      </c>
      <c r="C17" s="182">
        <f t="shared" ref="C17:G17" si="0">SUM(C9:C16)</f>
        <v>11230</v>
      </c>
      <c r="D17" s="147">
        <f t="shared" si="0"/>
        <v>3527</v>
      </c>
      <c r="E17" s="147">
        <f t="shared" si="0"/>
        <v>-5321</v>
      </c>
      <c r="F17" s="147">
        <f t="shared" si="0"/>
        <v>-1202</v>
      </c>
      <c r="G17" s="172">
        <f t="shared" si="0"/>
        <v>23106</v>
      </c>
      <c r="H17" s="182">
        <f t="shared" ref="H17:K17" si="1">SUM(H9:H16)</f>
        <v>-3682</v>
      </c>
      <c r="I17" s="147">
        <f t="shared" si="1"/>
        <v>8336</v>
      </c>
      <c r="J17" s="147">
        <f t="shared" si="1"/>
        <v>6631</v>
      </c>
      <c r="K17" s="172">
        <f t="shared" si="1"/>
        <v>23106</v>
      </c>
      <c r="L17" s="182">
        <f t="shared" ref="L17:M17" si="2">SUM(L9:L16)</f>
        <v>4841</v>
      </c>
      <c r="M17" s="147">
        <f t="shared" si="2"/>
        <v>2237</v>
      </c>
      <c r="N17" s="172">
        <f>SUM(N9:N16)</f>
        <v>6066</v>
      </c>
      <c r="O17" s="19"/>
      <c r="P17" s="272"/>
      <c r="Q17" s="272"/>
      <c r="R17" s="272"/>
      <c r="S17" s="272"/>
      <c r="T17" s="272"/>
      <c r="U17" s="272"/>
      <c r="V17" s="272"/>
      <c r="W17" s="93"/>
      <c r="X17" s="93"/>
      <c r="Y17" s="93"/>
    </row>
    <row r="18" spans="1:25" ht="24.95" customHeight="1" thickBot="1">
      <c r="A18" s="2"/>
      <c r="B18" s="60" t="s">
        <v>80</v>
      </c>
      <c r="C18" s="165">
        <v>-1242</v>
      </c>
      <c r="D18" s="190">
        <v>-435</v>
      </c>
      <c r="E18" s="190">
        <v>-1856</v>
      </c>
      <c r="F18" s="150">
        <v>-5821</v>
      </c>
      <c r="G18" s="184">
        <v>-6766</v>
      </c>
      <c r="H18" s="165">
        <v>-482</v>
      </c>
      <c r="I18" s="190">
        <v>-2754</v>
      </c>
      <c r="J18" s="190">
        <v>-5567</v>
      </c>
      <c r="K18" s="184">
        <v>-6766</v>
      </c>
      <c r="L18" s="144">
        <v>-1535</v>
      </c>
      <c r="M18" s="248">
        <v>-2878</v>
      </c>
      <c r="N18" s="135">
        <v>-5596</v>
      </c>
      <c r="O18" s="7"/>
      <c r="P18" s="272"/>
      <c r="Q18" s="272"/>
      <c r="R18" s="272"/>
      <c r="S18" s="272"/>
      <c r="T18" s="272"/>
      <c r="U18" s="272"/>
      <c r="V18" s="272"/>
      <c r="W18" s="93"/>
      <c r="X18" s="93"/>
      <c r="Y18" s="93"/>
    </row>
    <row r="19" spans="1:25" ht="24.95" customHeight="1" thickBot="1">
      <c r="A19" s="2"/>
      <c r="B19" s="62" t="s">
        <v>117</v>
      </c>
      <c r="C19" s="145">
        <f t="shared" ref="C19:G19" si="3">C7+C17+C18</f>
        <v>20144</v>
      </c>
      <c r="D19" s="129">
        <f t="shared" si="3"/>
        <v>12295</v>
      </c>
      <c r="E19" s="129">
        <f t="shared" si="3"/>
        <v>7863</v>
      </c>
      <c r="F19" s="129">
        <f t="shared" si="3"/>
        <v>13998</v>
      </c>
      <c r="G19" s="131">
        <f t="shared" si="3"/>
        <v>43052</v>
      </c>
      <c r="H19" s="145">
        <f t="shared" ref="H19:K19" si="4">H7+H17+H18</f>
        <v>2447</v>
      </c>
      <c r="I19" s="129">
        <f t="shared" si="4"/>
        <v>21411</v>
      </c>
      <c r="J19" s="129">
        <f t="shared" si="4"/>
        <v>25856</v>
      </c>
      <c r="K19" s="131">
        <f t="shared" si="4"/>
        <v>43052</v>
      </c>
      <c r="L19" s="145">
        <f t="shared" ref="L19:M19" si="5">L7+L17+L18</f>
        <v>13713</v>
      </c>
      <c r="M19" s="129">
        <f t="shared" si="5"/>
        <v>21448</v>
      </c>
      <c r="N19" s="131">
        <f>N7+N17+N18</f>
        <v>32771</v>
      </c>
      <c r="O19" s="19"/>
    </row>
    <row r="20" spans="1:25" ht="24.95" customHeight="1">
      <c r="A20" s="4"/>
      <c r="B20" s="59" t="s">
        <v>81</v>
      </c>
      <c r="C20" s="46"/>
      <c r="D20" s="45"/>
      <c r="E20" s="45"/>
      <c r="F20" s="36"/>
      <c r="G20" s="50"/>
      <c r="H20" s="71"/>
      <c r="I20" s="23"/>
      <c r="J20" s="23"/>
      <c r="K20" s="50"/>
      <c r="L20" s="115"/>
      <c r="M20" s="249"/>
      <c r="N20" s="116"/>
      <c r="O20" s="19"/>
    </row>
    <row r="21" spans="1:25" ht="24.95" customHeight="1">
      <c r="A21" s="2"/>
      <c r="B21" s="60" t="s">
        <v>82</v>
      </c>
      <c r="C21" s="166">
        <v>-2916</v>
      </c>
      <c r="D21" s="128">
        <v>-24790</v>
      </c>
      <c r="E21" s="128">
        <v>-12885</v>
      </c>
      <c r="F21" s="128">
        <v>-11698</v>
      </c>
      <c r="G21" s="126">
        <v>-14389</v>
      </c>
      <c r="H21" s="166">
        <v>-4430</v>
      </c>
      <c r="I21" s="128">
        <v>-9352</v>
      </c>
      <c r="J21" s="128">
        <v>-11400</v>
      </c>
      <c r="K21" s="126">
        <v>-14389</v>
      </c>
      <c r="L21" s="143">
        <v>-2514</v>
      </c>
      <c r="M21" s="243">
        <v>-4664</v>
      </c>
      <c r="N21" s="135">
        <v>-10061</v>
      </c>
      <c r="O21" s="19"/>
    </row>
    <row r="22" spans="1:25" ht="24.95" customHeight="1">
      <c r="A22" s="2"/>
      <c r="B22" s="60" t="s">
        <v>155</v>
      </c>
      <c r="C22" s="166">
        <v>-14761</v>
      </c>
      <c r="D22" s="128">
        <v>0</v>
      </c>
      <c r="E22" s="128">
        <v>-8</v>
      </c>
      <c r="F22" s="128">
        <v>0</v>
      </c>
      <c r="G22" s="126">
        <v>0</v>
      </c>
      <c r="H22" s="166">
        <v>0</v>
      </c>
      <c r="I22" s="128">
        <v>0</v>
      </c>
      <c r="J22" s="128">
        <v>0</v>
      </c>
      <c r="K22" s="126">
        <v>0</v>
      </c>
      <c r="L22" s="143">
        <v>0</v>
      </c>
      <c r="M22" s="243">
        <v>0</v>
      </c>
      <c r="N22" s="135">
        <v>0</v>
      </c>
      <c r="O22" s="19"/>
    </row>
    <row r="23" spans="1:25" ht="24.95" customHeight="1">
      <c r="A23" s="2"/>
      <c r="B23" s="60" t="s">
        <v>157</v>
      </c>
      <c r="C23" s="166">
        <v>0</v>
      </c>
      <c r="D23" s="128">
        <v>-50</v>
      </c>
      <c r="E23" s="128">
        <v>0</v>
      </c>
      <c r="F23" s="128">
        <v>0</v>
      </c>
      <c r="G23" s="126">
        <v>0</v>
      </c>
      <c r="H23" s="166">
        <v>0</v>
      </c>
      <c r="I23" s="128">
        <v>0</v>
      </c>
      <c r="J23" s="128">
        <v>0</v>
      </c>
      <c r="K23" s="126">
        <v>0</v>
      </c>
      <c r="L23" s="143">
        <v>0</v>
      </c>
      <c r="M23" s="243">
        <v>0</v>
      </c>
      <c r="N23" s="135">
        <v>0</v>
      </c>
      <c r="O23" s="19"/>
    </row>
    <row r="24" spans="1:25" ht="24.95" customHeight="1">
      <c r="A24" s="2"/>
      <c r="B24" s="207" t="s">
        <v>118</v>
      </c>
      <c r="C24" s="166">
        <v>0</v>
      </c>
      <c r="D24" s="118">
        <v>1352</v>
      </c>
      <c r="E24" s="118">
        <v>1811</v>
      </c>
      <c r="F24" s="118">
        <v>536</v>
      </c>
      <c r="G24" s="127">
        <v>705</v>
      </c>
      <c r="H24" s="167">
        <v>157</v>
      </c>
      <c r="I24" s="118">
        <v>304</v>
      </c>
      <c r="J24" s="118">
        <v>408</v>
      </c>
      <c r="K24" s="127">
        <v>705</v>
      </c>
      <c r="L24" s="144">
        <v>305</v>
      </c>
      <c r="M24" s="248">
        <v>460</v>
      </c>
      <c r="N24" s="136">
        <v>573</v>
      </c>
      <c r="O24" s="19"/>
      <c r="P24" s="92"/>
    </row>
    <row r="25" spans="1:25" ht="24.95" customHeight="1">
      <c r="A25" s="2"/>
      <c r="B25" s="207" t="s">
        <v>119</v>
      </c>
      <c r="C25" s="167">
        <v>15900</v>
      </c>
      <c r="D25" s="118">
        <v>1072</v>
      </c>
      <c r="E25" s="118">
        <v>12200</v>
      </c>
      <c r="F25" s="118">
        <v>813</v>
      </c>
      <c r="G25" s="127">
        <v>1138</v>
      </c>
      <c r="H25" s="166">
        <v>79</v>
      </c>
      <c r="I25" s="128">
        <v>664</v>
      </c>
      <c r="J25" s="128">
        <v>749</v>
      </c>
      <c r="K25" s="127">
        <v>1138</v>
      </c>
      <c r="L25" s="144">
        <v>157</v>
      </c>
      <c r="M25" s="248">
        <v>276</v>
      </c>
      <c r="N25" s="136">
        <v>276</v>
      </c>
      <c r="O25" s="19"/>
    </row>
    <row r="26" spans="1:25" ht="24.95" customHeight="1" thickBot="1">
      <c r="A26" s="5"/>
      <c r="B26" s="60" t="s">
        <v>120</v>
      </c>
      <c r="C26" s="167">
        <v>0</v>
      </c>
      <c r="D26" s="118">
        <v>1019</v>
      </c>
      <c r="E26" s="118">
        <v>1743</v>
      </c>
      <c r="F26" s="118">
        <v>749</v>
      </c>
      <c r="G26" s="127">
        <v>991</v>
      </c>
      <c r="H26" s="167">
        <v>275</v>
      </c>
      <c r="I26" s="118">
        <v>563</v>
      </c>
      <c r="J26" s="118">
        <v>701</v>
      </c>
      <c r="K26" s="127">
        <v>991</v>
      </c>
      <c r="L26" s="144">
        <v>119</v>
      </c>
      <c r="M26" s="248">
        <v>279</v>
      </c>
      <c r="N26" s="136">
        <v>595</v>
      </c>
      <c r="O26" s="7" t="s">
        <v>0</v>
      </c>
    </row>
    <row r="27" spans="1:25" ht="24.95" customHeight="1" thickBot="1">
      <c r="A27" s="2"/>
      <c r="B27" s="62" t="s">
        <v>121</v>
      </c>
      <c r="C27" s="145">
        <f t="shared" ref="C27:G27" si="6">SUM(C21:C26)</f>
        <v>-1777</v>
      </c>
      <c r="D27" s="129">
        <f t="shared" si="6"/>
        <v>-21397</v>
      </c>
      <c r="E27" s="129">
        <f t="shared" si="6"/>
        <v>2861</v>
      </c>
      <c r="F27" s="129">
        <f t="shared" si="6"/>
        <v>-9600</v>
      </c>
      <c r="G27" s="131">
        <f t="shared" si="6"/>
        <v>-11555</v>
      </c>
      <c r="H27" s="145">
        <f t="shared" ref="H27:K27" si="7">SUM(H21:H26)</f>
        <v>-3919</v>
      </c>
      <c r="I27" s="129">
        <f t="shared" si="7"/>
        <v>-7821</v>
      </c>
      <c r="J27" s="129">
        <f t="shared" si="7"/>
        <v>-9542</v>
      </c>
      <c r="K27" s="131">
        <f t="shared" si="7"/>
        <v>-11555</v>
      </c>
      <c r="L27" s="145">
        <f t="shared" ref="L27:M27" si="8">SUM(L21:L26)</f>
        <v>-1933</v>
      </c>
      <c r="M27" s="129">
        <f t="shared" si="8"/>
        <v>-3649</v>
      </c>
      <c r="N27" s="131">
        <f>SUM(N21:N26)</f>
        <v>-8617</v>
      </c>
      <c r="O27" s="7"/>
    </row>
    <row r="28" spans="1:25" ht="24.95" customHeight="1">
      <c r="A28" s="2"/>
      <c r="B28" s="59" t="s">
        <v>83</v>
      </c>
      <c r="C28" s="49"/>
      <c r="D28" s="40"/>
      <c r="E28" s="40"/>
      <c r="F28" s="36"/>
      <c r="G28" s="50"/>
      <c r="H28" s="113"/>
      <c r="I28" s="77"/>
      <c r="J28" s="77"/>
      <c r="K28" s="109"/>
      <c r="L28" s="115"/>
      <c r="M28" s="249"/>
      <c r="N28" s="109"/>
      <c r="O28" s="7"/>
    </row>
    <row r="29" spans="1:25" ht="24.95" customHeight="1">
      <c r="A29" s="2"/>
      <c r="B29" s="60" t="s">
        <v>122</v>
      </c>
      <c r="C29" s="166">
        <v>7734</v>
      </c>
      <c r="D29" s="128">
        <v>29684</v>
      </c>
      <c r="E29" s="128">
        <v>3354</v>
      </c>
      <c r="F29" s="128">
        <v>3721</v>
      </c>
      <c r="G29" s="126">
        <v>-23362</v>
      </c>
      <c r="H29" s="168">
        <v>3205</v>
      </c>
      <c r="I29" s="201">
        <v>-8788</v>
      </c>
      <c r="J29" s="201">
        <v>-12072</v>
      </c>
      <c r="K29" s="126">
        <v>-23362</v>
      </c>
      <c r="L29" s="143">
        <v>502</v>
      </c>
      <c r="M29" s="243">
        <v>5533</v>
      </c>
      <c r="N29" s="135">
        <v>2739</v>
      </c>
      <c r="O29" s="7"/>
    </row>
    <row r="30" spans="1:25" ht="24.95" customHeight="1">
      <c r="A30" s="2"/>
      <c r="B30" s="60" t="s">
        <v>158</v>
      </c>
      <c r="C30" s="166">
        <v>0</v>
      </c>
      <c r="D30" s="128">
        <v>614</v>
      </c>
      <c r="E30" s="128">
        <v>0</v>
      </c>
      <c r="F30" s="128">
        <v>0</v>
      </c>
      <c r="G30" s="126">
        <v>0</v>
      </c>
      <c r="H30" s="168"/>
      <c r="I30" s="201"/>
      <c r="J30" s="201"/>
      <c r="K30" s="126">
        <v>0</v>
      </c>
      <c r="L30" s="143"/>
      <c r="M30" s="243"/>
      <c r="N30" s="135"/>
      <c r="O30" s="7"/>
    </row>
    <row r="31" spans="1:25" ht="24.95" customHeight="1">
      <c r="A31" s="2"/>
      <c r="B31" s="60" t="s">
        <v>123</v>
      </c>
      <c r="C31" s="167">
        <v>-1063</v>
      </c>
      <c r="D31" s="118">
        <v>-5978</v>
      </c>
      <c r="E31" s="118">
        <v>-6736</v>
      </c>
      <c r="F31" s="118">
        <v>-3009</v>
      </c>
      <c r="G31" s="127">
        <v>-5767</v>
      </c>
      <c r="H31" s="167">
        <v>-671</v>
      </c>
      <c r="I31" s="118">
        <v>-1710</v>
      </c>
      <c r="J31" s="118">
        <v>-2401</v>
      </c>
      <c r="K31" s="127">
        <v>-5767</v>
      </c>
      <c r="L31" s="144">
        <v>-881</v>
      </c>
      <c r="M31" s="248">
        <v>-3731</v>
      </c>
      <c r="N31" s="137">
        <v>-5191</v>
      </c>
      <c r="O31" s="19"/>
    </row>
    <row r="32" spans="1:25" ht="24.95" customHeight="1">
      <c r="A32" s="2"/>
      <c r="B32" s="60" t="s">
        <v>124</v>
      </c>
      <c r="C32" s="166">
        <v>0</v>
      </c>
      <c r="D32" s="128">
        <v>0</v>
      </c>
      <c r="E32" s="128">
        <v>0</v>
      </c>
      <c r="F32" s="128">
        <v>0</v>
      </c>
      <c r="G32" s="126">
        <v>0</v>
      </c>
      <c r="H32" s="166">
        <v>0</v>
      </c>
      <c r="I32" s="128">
        <v>0</v>
      </c>
      <c r="J32" s="128">
        <v>0</v>
      </c>
      <c r="K32" s="126">
        <v>0</v>
      </c>
      <c r="L32" s="143">
        <v>0</v>
      </c>
      <c r="M32" s="243">
        <v>-292</v>
      </c>
      <c r="N32" s="135">
        <v>-518</v>
      </c>
      <c r="O32" s="19"/>
    </row>
    <row r="33" spans="1:15" ht="24.95" customHeight="1">
      <c r="A33" s="6"/>
      <c r="B33" s="60" t="s">
        <v>125</v>
      </c>
      <c r="C33" s="166">
        <v>-15972</v>
      </c>
      <c r="D33" s="128">
        <v>-7986</v>
      </c>
      <c r="E33" s="128">
        <v>-514</v>
      </c>
      <c r="F33" s="128">
        <v>-594</v>
      </c>
      <c r="G33" s="127">
        <v>-332</v>
      </c>
      <c r="H33" s="167">
        <v>0</v>
      </c>
      <c r="I33" s="118">
        <v>-332</v>
      </c>
      <c r="J33" s="118">
        <v>-332</v>
      </c>
      <c r="K33" s="127">
        <v>-332</v>
      </c>
      <c r="L33" s="144">
        <v>0</v>
      </c>
      <c r="M33" s="248">
        <v>-510</v>
      </c>
      <c r="N33" s="136">
        <v>-4610</v>
      </c>
      <c r="O33" s="19"/>
    </row>
    <row r="34" spans="1:15" ht="24.95" customHeight="1" thickBot="1">
      <c r="A34" s="2"/>
      <c r="B34" s="60" t="s">
        <v>84</v>
      </c>
      <c r="C34" s="166">
        <v>-3387</v>
      </c>
      <c r="D34" s="128">
        <v>-3874</v>
      </c>
      <c r="E34" s="128">
        <v>-4261</v>
      </c>
      <c r="F34" s="128">
        <v>-3702</v>
      </c>
      <c r="G34" s="126">
        <v>-3704</v>
      </c>
      <c r="H34" s="166">
        <v>-892</v>
      </c>
      <c r="I34" s="128">
        <v>-1749</v>
      </c>
      <c r="J34" s="128">
        <v>-2581</v>
      </c>
      <c r="K34" s="126">
        <v>-3704</v>
      </c>
      <c r="L34" s="144">
        <v>-704</v>
      </c>
      <c r="M34" s="248">
        <v>-1376</v>
      </c>
      <c r="N34" s="135">
        <v>-2238</v>
      </c>
      <c r="O34" s="7" t="s">
        <v>0</v>
      </c>
    </row>
    <row r="35" spans="1:15" ht="24.95" customHeight="1" thickBot="1">
      <c r="A35" s="5"/>
      <c r="B35" s="62" t="s">
        <v>126</v>
      </c>
      <c r="C35" s="145">
        <f t="shared" ref="C35:G35" si="9">SUM(C29:C34)</f>
        <v>-12688</v>
      </c>
      <c r="D35" s="129">
        <f t="shared" si="9"/>
        <v>12460</v>
      </c>
      <c r="E35" s="129">
        <f t="shared" si="9"/>
        <v>-8157</v>
      </c>
      <c r="F35" s="129">
        <f t="shared" si="9"/>
        <v>-3584</v>
      </c>
      <c r="G35" s="131">
        <f t="shared" si="9"/>
        <v>-33165</v>
      </c>
      <c r="H35" s="145">
        <f t="shared" ref="H35:K35" si="10">SUM(H29:H34)</f>
        <v>1642</v>
      </c>
      <c r="I35" s="129">
        <f t="shared" si="10"/>
        <v>-12579</v>
      </c>
      <c r="J35" s="129">
        <f t="shared" si="10"/>
        <v>-17386</v>
      </c>
      <c r="K35" s="131">
        <f t="shared" si="10"/>
        <v>-33165</v>
      </c>
      <c r="L35" s="145">
        <f t="shared" ref="L35:M35" si="11">SUM(L29:L34)</f>
        <v>-1083</v>
      </c>
      <c r="M35" s="129">
        <f t="shared" si="11"/>
        <v>-376</v>
      </c>
      <c r="N35" s="131">
        <f>SUM(N29:N34)</f>
        <v>-9818</v>
      </c>
      <c r="O35" s="19"/>
    </row>
    <row r="36" spans="1:15" ht="24.95" customHeight="1" thickBot="1">
      <c r="A36" s="1"/>
      <c r="B36" s="60"/>
      <c r="C36" s="46"/>
      <c r="D36" s="40"/>
      <c r="E36" s="40"/>
      <c r="F36" s="36"/>
      <c r="G36" s="50"/>
      <c r="H36" s="53"/>
      <c r="I36" s="22"/>
      <c r="J36" s="22"/>
      <c r="K36" s="50"/>
      <c r="L36" s="115"/>
      <c r="M36" s="249"/>
      <c r="N36" s="116"/>
      <c r="O36" s="19"/>
    </row>
    <row r="37" spans="1:15" ht="24.95" customHeight="1" thickBot="1">
      <c r="A37" s="2"/>
      <c r="B37" s="62" t="s">
        <v>85</v>
      </c>
      <c r="C37" s="145">
        <f t="shared" ref="C37:G37" si="12">C19+C27+C35</f>
        <v>5679</v>
      </c>
      <c r="D37" s="129">
        <f t="shared" si="12"/>
        <v>3358</v>
      </c>
      <c r="E37" s="129">
        <f t="shared" si="12"/>
        <v>2567</v>
      </c>
      <c r="F37" s="129">
        <f t="shared" si="12"/>
        <v>814</v>
      </c>
      <c r="G37" s="131">
        <f t="shared" si="12"/>
        <v>-1668</v>
      </c>
      <c r="H37" s="145">
        <f t="shared" ref="H37:J37" si="13">H19+H27+H35</f>
        <v>170</v>
      </c>
      <c r="I37" s="129">
        <f t="shared" si="13"/>
        <v>1011</v>
      </c>
      <c r="J37" s="129">
        <f t="shared" si="13"/>
        <v>-1072</v>
      </c>
      <c r="K37" s="131">
        <f>K19+K27+K35</f>
        <v>-1668</v>
      </c>
      <c r="L37" s="145">
        <f t="shared" ref="L37:M37" si="14">L19+L27+L35</f>
        <v>10697</v>
      </c>
      <c r="M37" s="129">
        <f t="shared" si="14"/>
        <v>17423</v>
      </c>
      <c r="N37" s="131">
        <f>N19+N27+N35</f>
        <v>14336</v>
      </c>
      <c r="O37" s="19"/>
    </row>
    <row r="38" spans="1:15" ht="24.95" customHeight="1" thickBot="1">
      <c r="A38" s="2"/>
      <c r="B38" s="72" t="s">
        <v>127</v>
      </c>
      <c r="C38" s="145">
        <v>-3724</v>
      </c>
      <c r="D38" s="185">
        <v>979</v>
      </c>
      <c r="E38" s="185">
        <v>-1011</v>
      </c>
      <c r="F38" s="186">
        <v>45</v>
      </c>
      <c r="G38" s="139">
        <v>899</v>
      </c>
      <c r="H38" s="146">
        <v>391</v>
      </c>
      <c r="I38" s="228">
        <v>387</v>
      </c>
      <c r="J38" s="228">
        <v>404</v>
      </c>
      <c r="K38" s="138">
        <v>899</v>
      </c>
      <c r="L38" s="146">
        <v>240</v>
      </c>
      <c r="M38" s="228">
        <v>262</v>
      </c>
      <c r="N38" s="138">
        <v>252</v>
      </c>
      <c r="O38" s="19"/>
    </row>
    <row r="39" spans="1:15" ht="24.95" customHeight="1" thickBot="1">
      <c r="A39" s="2"/>
      <c r="B39" s="62" t="s">
        <v>91</v>
      </c>
      <c r="C39" s="145">
        <f t="shared" ref="C39:F39" si="15">SUM(C37:C38)</f>
        <v>1955</v>
      </c>
      <c r="D39" s="129">
        <f t="shared" si="15"/>
        <v>4337</v>
      </c>
      <c r="E39" s="129">
        <f t="shared" si="15"/>
        <v>1556</v>
      </c>
      <c r="F39" s="129">
        <f t="shared" si="15"/>
        <v>859</v>
      </c>
      <c r="G39" s="131">
        <f t="shared" ref="G39" si="16">SUM(G37:G38)</f>
        <v>-769</v>
      </c>
      <c r="H39" s="145">
        <f t="shared" ref="H39:K39" si="17">SUM(H37:H38)</f>
        <v>561</v>
      </c>
      <c r="I39" s="129">
        <f t="shared" si="17"/>
        <v>1398</v>
      </c>
      <c r="J39" s="129">
        <f t="shared" si="17"/>
        <v>-668</v>
      </c>
      <c r="K39" s="131">
        <f t="shared" si="17"/>
        <v>-769</v>
      </c>
      <c r="L39" s="145">
        <f t="shared" ref="L39:M39" si="18">SUM(L37:L38)</f>
        <v>10937</v>
      </c>
      <c r="M39" s="129">
        <f t="shared" si="18"/>
        <v>17685</v>
      </c>
      <c r="N39" s="131">
        <f>SUM(N37:N38)</f>
        <v>14588</v>
      </c>
      <c r="O39" s="19"/>
    </row>
    <row r="40" spans="1:15" ht="24.95" customHeight="1" thickBot="1">
      <c r="A40" s="2"/>
      <c r="B40" s="60" t="s">
        <v>92</v>
      </c>
      <c r="C40" s="194">
        <v>4816</v>
      </c>
      <c r="D40" s="191">
        <v>6771</v>
      </c>
      <c r="E40" s="187">
        <v>11108</v>
      </c>
      <c r="F40" s="187">
        <v>12664</v>
      </c>
      <c r="G40" s="173">
        <v>13523</v>
      </c>
      <c r="H40" s="169">
        <v>13523</v>
      </c>
      <c r="I40" s="229">
        <v>13523</v>
      </c>
      <c r="J40" s="229">
        <v>13523</v>
      </c>
      <c r="K40" s="173">
        <v>13523</v>
      </c>
      <c r="L40" s="143">
        <v>12754</v>
      </c>
      <c r="M40" s="243">
        <v>12754</v>
      </c>
      <c r="N40" s="135">
        <v>12754</v>
      </c>
      <c r="O40" s="19"/>
    </row>
    <row r="41" spans="1:15" ht="24.95" customHeight="1" thickBot="1">
      <c r="A41" s="2"/>
      <c r="B41" s="63" t="s">
        <v>93</v>
      </c>
      <c r="C41" s="145">
        <v>6771</v>
      </c>
      <c r="D41" s="188">
        <v>11108</v>
      </c>
      <c r="E41" s="129">
        <v>12664</v>
      </c>
      <c r="F41" s="188">
        <v>13523</v>
      </c>
      <c r="G41" s="131">
        <v>12754</v>
      </c>
      <c r="H41" s="170">
        <v>14084</v>
      </c>
      <c r="I41" s="223">
        <v>14921</v>
      </c>
      <c r="J41" s="223">
        <v>12855</v>
      </c>
      <c r="K41" s="131">
        <v>12754</v>
      </c>
      <c r="L41" s="170">
        <v>23691</v>
      </c>
      <c r="M41" s="223">
        <v>30439</v>
      </c>
      <c r="N41" s="131">
        <v>27342</v>
      </c>
      <c r="O41" s="7"/>
    </row>
    <row r="42" spans="1:15" ht="24.95" customHeight="1">
      <c r="A42" s="2"/>
      <c r="B42" s="64"/>
      <c r="C42" s="20"/>
      <c r="D42" s="20"/>
      <c r="E42" s="20"/>
      <c r="F42" s="20"/>
      <c r="G42" s="20"/>
      <c r="H42" s="22"/>
      <c r="I42" s="22"/>
      <c r="J42" s="22"/>
      <c r="K42" s="22"/>
      <c r="L42" s="22"/>
      <c r="M42" s="22"/>
      <c r="N42" s="22"/>
      <c r="O42" s="19"/>
    </row>
    <row r="43" spans="1:15">
      <c r="H43" s="57"/>
      <c r="I43" s="57"/>
      <c r="J43" s="57"/>
      <c r="K43" s="57"/>
      <c r="L43" s="57"/>
      <c r="M43" s="57"/>
      <c r="N43" s="57"/>
    </row>
  </sheetData>
  <mergeCells count="6">
    <mergeCell ref="P17:V18"/>
    <mergeCell ref="E1:L1"/>
    <mergeCell ref="D4:F4"/>
    <mergeCell ref="B4:B5"/>
    <mergeCell ref="H4:K4"/>
    <mergeCell ref="L4:N4"/>
  </mergeCells>
  <pageMargins left="0.43307086614173229" right="0.31496062992125984" top="0.74803149606299213" bottom="0.74803149606299213" header="0.31496062992125984" footer="0.31496062992125984"/>
  <pageSetup paperSize="9" scale="54" orientation="portrait" horizontalDpi="300" verticalDpi="300" r:id="rId1"/>
  <rowBreaks count="2" manualBreakCount="2">
    <brk id="42" max="16383" man="1"/>
    <brk id="60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80"/>
  <sheetViews>
    <sheetView tabSelected="1" topLeftCell="A10" workbookViewId="0">
      <selection activeCell="O5" sqref="O5"/>
    </sheetView>
  </sheetViews>
  <sheetFormatPr defaultRowHeight="14.25"/>
  <cols>
    <col min="1" max="1" width="5.25" customWidth="1"/>
    <col min="2" max="2" width="35.375" customWidth="1"/>
    <col min="3" max="8" width="10.625" customWidth="1"/>
    <col min="9" max="9" width="11.375" customWidth="1"/>
    <col min="10" max="12" width="10.625" customWidth="1"/>
  </cols>
  <sheetData>
    <row r="1" spans="1:19" ht="73.5" customHeight="1">
      <c r="B1" s="7"/>
      <c r="C1" s="283"/>
      <c r="D1" s="283"/>
      <c r="E1" s="283"/>
      <c r="F1" s="28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7"/>
      <c r="B4" s="7"/>
      <c r="C4" s="277"/>
      <c r="D4" s="277"/>
      <c r="E4" s="2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7"/>
      <c r="B9" s="94"/>
      <c r="C9" s="96" t="s">
        <v>101</v>
      </c>
      <c r="D9" s="97" t="s">
        <v>102</v>
      </c>
      <c r="E9" s="97" t="s">
        <v>103</v>
      </c>
      <c r="F9" s="97" t="s">
        <v>104</v>
      </c>
      <c r="G9" s="97" t="s">
        <v>97</v>
      </c>
      <c r="H9" s="97" t="s">
        <v>98</v>
      </c>
      <c r="I9" s="97" t="s">
        <v>99</v>
      </c>
      <c r="J9" s="97" t="s">
        <v>105</v>
      </c>
      <c r="K9" s="97" t="s">
        <v>107</v>
      </c>
      <c r="L9" s="98" t="s">
        <v>100</v>
      </c>
      <c r="M9" s="7"/>
      <c r="N9" s="7"/>
      <c r="O9" s="7"/>
      <c r="P9" s="7"/>
      <c r="Q9" s="7"/>
      <c r="R9" s="7"/>
      <c r="S9" s="7"/>
    </row>
    <row r="10" spans="1:19" ht="15">
      <c r="A10" s="7"/>
      <c r="B10" s="282" t="s">
        <v>159</v>
      </c>
      <c r="C10" s="279">
        <v>27.7</v>
      </c>
      <c r="D10" s="278">
        <v>31.9</v>
      </c>
      <c r="E10" s="278">
        <v>30.4</v>
      </c>
      <c r="F10" s="278">
        <v>36.799999999999997</v>
      </c>
      <c r="G10" s="278">
        <v>35.700000000000003</v>
      </c>
      <c r="H10" s="278">
        <v>38.299999999999997</v>
      </c>
      <c r="I10" s="278">
        <v>31.9</v>
      </c>
      <c r="J10" s="278">
        <v>29.3</v>
      </c>
      <c r="K10" s="278">
        <v>47.6</v>
      </c>
      <c r="L10" s="31">
        <v>26.5</v>
      </c>
      <c r="M10" s="7"/>
      <c r="N10" s="7"/>
      <c r="O10" s="7"/>
      <c r="P10" s="7"/>
      <c r="Q10" s="7"/>
      <c r="R10" s="7"/>
      <c r="S10" s="7"/>
    </row>
    <row r="11" spans="1:19" ht="15.75" thickBot="1">
      <c r="A11" s="7"/>
      <c r="B11" s="282" t="s">
        <v>160</v>
      </c>
      <c r="C11" s="280">
        <v>43.3</v>
      </c>
      <c r="D11" s="95">
        <v>30.9</v>
      </c>
      <c r="E11" s="95">
        <v>35.9</v>
      </c>
      <c r="F11" s="95">
        <v>38.799999999999997</v>
      </c>
      <c r="G11" s="95">
        <v>26.5</v>
      </c>
      <c r="H11" s="95">
        <v>34.700000000000003</v>
      </c>
      <c r="I11" s="281">
        <v>42.6</v>
      </c>
      <c r="J11" s="95">
        <v>26.9</v>
      </c>
      <c r="K11" s="95">
        <v>24.9</v>
      </c>
      <c r="L11" s="101">
        <v>30.6</v>
      </c>
      <c r="M11" s="7"/>
      <c r="N11" s="7"/>
      <c r="O11" s="7"/>
      <c r="P11" s="7"/>
      <c r="Q11" s="7"/>
      <c r="R11" s="7"/>
      <c r="S11" s="7"/>
    </row>
    <row r="12" spans="1:19">
      <c r="A12" s="7"/>
      <c r="B12" s="7"/>
      <c r="M12" s="7"/>
      <c r="N12" s="7"/>
      <c r="O12" s="7"/>
      <c r="P12" s="7"/>
      <c r="Q12" s="7"/>
      <c r="R12" s="7"/>
      <c r="S12" s="7"/>
    </row>
    <row r="13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</sheetData>
  <mergeCells count="2">
    <mergeCell ref="C1:F1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Grupa Mercor</vt:lpstr>
      <vt:lpstr>Bilans Grupa Mercor</vt:lpstr>
      <vt:lpstr>RZiS Grupa Mercor</vt:lpstr>
      <vt:lpstr>Cash flow Grupa Mercor</vt:lpstr>
      <vt:lpstr>zamówienia</vt:lpstr>
      <vt:lpstr>'Grupa Mercor'!Obszar_wydruku</vt:lpstr>
      <vt:lpstr>'RZiS Grupa Mercor'!Obszar_wydruku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Beata Cioczek</cp:lastModifiedBy>
  <cp:lastPrinted>2012-02-20T09:39:36Z</cp:lastPrinted>
  <dcterms:created xsi:type="dcterms:W3CDTF">2012-02-09T13:26:38Z</dcterms:created>
  <dcterms:modified xsi:type="dcterms:W3CDTF">2021-02-23T10:50:48Z</dcterms:modified>
</cp:coreProperties>
</file>