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trona internetowa\Podstawowe dane finasowe\"/>
    </mc:Choice>
  </mc:AlternateContent>
  <bookViews>
    <workbookView xWindow="0" yWindow="0" windowWidth="28800" windowHeight="13320" activeTab="2"/>
  </bookViews>
  <sheets>
    <sheet name="Grupa Mercor" sheetId="5" r:id="rId1"/>
    <sheet name="Bilans Grupa Mercor" sheetId="2" r:id="rId2"/>
    <sheet name="RZiS Grupa Mercor" sheetId="3" r:id="rId3"/>
    <sheet name="Cash flow Grupa Mercor" sheetId="4" r:id="rId4"/>
    <sheet name="zamówienia" sheetId="6" r:id="rId5"/>
  </sheets>
  <definedNames>
    <definedName name="_xlnm.Print_Area" localSheetId="0">'Grupa Mercor'!$A$1:$A$12</definedName>
    <definedName name="_xlnm.Print_Area" localSheetId="2">'RZiS Grupa Mercor'!$A$1:$N$33</definedName>
  </definedNames>
  <calcPr calcId="191029"/>
</workbook>
</file>

<file path=xl/calcChain.xml><?xml version="1.0" encoding="utf-8"?>
<calcChain xmlns="http://schemas.openxmlformats.org/spreadsheetml/2006/main">
  <c r="Q28" i="4" l="1"/>
  <c r="R34" i="3"/>
  <c r="N34" i="3"/>
  <c r="Q7" i="3"/>
  <c r="Q11" i="3"/>
  <c r="K17" i="4" l="1"/>
  <c r="K15" i="4"/>
  <c r="K14" i="4"/>
  <c r="J17" i="4"/>
  <c r="J14" i="4"/>
  <c r="I17" i="4"/>
  <c r="I12" i="4"/>
  <c r="I16" i="4"/>
  <c r="I14" i="4"/>
  <c r="I13" i="4"/>
  <c r="I7" i="4"/>
  <c r="H55" i="2"/>
  <c r="G55" i="2"/>
  <c r="F55" i="2"/>
  <c r="H53" i="2"/>
  <c r="G53" i="2"/>
  <c r="F53" i="2"/>
  <c r="M55" i="2"/>
  <c r="M53" i="2"/>
  <c r="M68" i="2"/>
  <c r="M66" i="2"/>
  <c r="O68" i="2"/>
  <c r="O66" i="2"/>
  <c r="N68" i="2"/>
  <c r="N66" i="2"/>
  <c r="N64" i="2"/>
  <c r="N61" i="2"/>
  <c r="N60" i="2"/>
  <c r="N55" i="2"/>
  <c r="N53" i="2"/>
  <c r="N41" i="2"/>
  <c r="N24" i="2"/>
  <c r="N23" i="2"/>
  <c r="N22" i="2"/>
  <c r="N16" i="2"/>
  <c r="N15" i="2"/>
  <c r="N13" i="2"/>
  <c r="O64" i="2" l="1"/>
  <c r="O60" i="2"/>
  <c r="O61" i="2"/>
  <c r="O55" i="2"/>
  <c r="O53" i="2"/>
  <c r="O41" i="2"/>
  <c r="O22" i="2"/>
  <c r="O24" i="2"/>
  <c r="O23" i="2"/>
  <c r="O16" i="2"/>
  <c r="O15" i="2"/>
  <c r="O13" i="2"/>
  <c r="P60" i="2"/>
  <c r="P61" i="2"/>
  <c r="P68" i="2"/>
  <c r="P66" i="2"/>
  <c r="P64" i="2"/>
  <c r="P55" i="2"/>
  <c r="P53" i="2"/>
  <c r="P41" i="2"/>
  <c r="P24" i="2"/>
  <c r="P23" i="2"/>
  <c r="P22" i="2"/>
  <c r="P13" i="2"/>
  <c r="P16" i="2"/>
  <c r="P15" i="2"/>
  <c r="L60" i="2"/>
  <c r="L61" i="2"/>
  <c r="L68" i="2"/>
  <c r="L66" i="2"/>
  <c r="L55" i="2"/>
  <c r="L53" i="2"/>
  <c r="L22" i="2"/>
  <c r="L24" i="2"/>
  <c r="L23" i="2"/>
  <c r="L16" i="2"/>
  <c r="L15" i="2"/>
  <c r="K24" i="2"/>
  <c r="K22" i="2"/>
  <c r="J22" i="2"/>
  <c r="J24" i="2"/>
  <c r="K60" i="2" l="1"/>
  <c r="K61" i="2"/>
  <c r="K23" i="2"/>
  <c r="K16" i="2"/>
  <c r="K15" i="2"/>
  <c r="J60" i="2" l="1"/>
  <c r="J61" i="2"/>
  <c r="J23" i="2"/>
  <c r="J15" i="2"/>
  <c r="J16" i="2"/>
  <c r="L64" i="2" l="1"/>
  <c r="L41" i="2"/>
  <c r="L13" i="2"/>
  <c r="K55" i="2"/>
  <c r="K53" i="2"/>
  <c r="K68" i="2"/>
  <c r="K66" i="2"/>
  <c r="K64" i="2"/>
  <c r="K41" i="2"/>
  <c r="K13" i="2"/>
  <c r="J13" i="2"/>
  <c r="J41" i="2"/>
  <c r="I55" i="2"/>
  <c r="I53" i="2"/>
  <c r="I68" i="2"/>
  <c r="I66" i="2"/>
  <c r="J68" i="2"/>
  <c r="J66" i="2"/>
  <c r="J64" i="2"/>
  <c r="J55" i="2"/>
  <c r="J53" i="2"/>
  <c r="L8" i="3"/>
  <c r="L15" i="3"/>
  <c r="L14" i="3"/>
  <c r="L11" i="3"/>
  <c r="L12" i="3"/>
  <c r="L19" i="3"/>
  <c r="L18" i="3"/>
  <c r="J18" i="3"/>
  <c r="K19" i="3"/>
  <c r="J19" i="3" s="1"/>
  <c r="K18" i="3"/>
  <c r="K8" i="3" l="1"/>
  <c r="J8" i="3" s="1"/>
  <c r="K15" i="3"/>
  <c r="K14" i="3"/>
  <c r="J14" i="3" s="1"/>
  <c r="K11" i="3"/>
  <c r="K12" i="3"/>
  <c r="J12" i="3" l="1"/>
  <c r="J15" i="3"/>
  <c r="J11" i="3"/>
  <c r="P19" i="3"/>
  <c r="P18" i="3"/>
  <c r="M19" i="3" l="1"/>
  <c r="M18" i="3"/>
  <c r="P8" i="3"/>
  <c r="O8" i="3"/>
  <c r="N8" i="3"/>
  <c r="P12" i="3"/>
  <c r="O12" i="3"/>
  <c r="N12" i="3"/>
  <c r="P15" i="3"/>
  <c r="P14" i="3"/>
  <c r="P11" i="3"/>
  <c r="O19" i="3"/>
  <c r="O18" i="3"/>
  <c r="N19" i="3"/>
  <c r="N18" i="3"/>
  <c r="O15" i="3"/>
  <c r="O14" i="3"/>
  <c r="O11" i="3" l="1"/>
  <c r="N14" i="3"/>
  <c r="N11" i="3"/>
  <c r="N15" i="3"/>
  <c r="P13" i="3" l="1"/>
  <c r="P22" i="3"/>
  <c r="Q25" i="3" l="1"/>
  <c r="Q22" i="3"/>
  <c r="Q19" i="3"/>
  <c r="Q18" i="3"/>
  <c r="Q15" i="3"/>
  <c r="Q14" i="3"/>
  <c r="Q13" i="3"/>
  <c r="Q12" i="3"/>
  <c r="Q8" i="3"/>
  <c r="M25" i="3"/>
  <c r="M15" i="3"/>
  <c r="M14" i="3"/>
  <c r="M12" i="3"/>
  <c r="M11" i="3"/>
  <c r="M8" i="3"/>
  <c r="P37" i="4"/>
  <c r="P28" i="4"/>
  <c r="P18" i="4"/>
  <c r="P20" i="4" s="1"/>
  <c r="L37" i="4"/>
  <c r="L28" i="4"/>
  <c r="L10" i="4"/>
  <c r="L18" i="4" s="1"/>
  <c r="L20" i="4" s="1"/>
  <c r="O37" i="4"/>
  <c r="O28" i="4"/>
  <c r="O18" i="4"/>
  <c r="O20" i="4" s="1"/>
  <c r="G37" i="4"/>
  <c r="G28" i="4"/>
  <c r="G10" i="4"/>
  <c r="G18" i="4" s="1"/>
  <c r="G20" i="4" s="1"/>
  <c r="P9" i="3"/>
  <c r="P16" i="3" s="1"/>
  <c r="P20" i="3" s="1"/>
  <c r="G39" i="3"/>
  <c r="G7" i="3"/>
  <c r="G9" i="3" s="1"/>
  <c r="G16" i="3" s="1"/>
  <c r="Q69" i="2"/>
  <c r="Q56" i="2"/>
  <c r="Q42" i="2"/>
  <c r="Q45" i="2" s="1"/>
  <c r="Q29" i="2"/>
  <c r="Q17" i="2"/>
  <c r="M69" i="2"/>
  <c r="M56" i="2"/>
  <c r="M42" i="2"/>
  <c r="M45" i="2" s="1"/>
  <c r="M29" i="2"/>
  <c r="M17" i="2"/>
  <c r="I69" i="2"/>
  <c r="I56" i="2"/>
  <c r="I42" i="2"/>
  <c r="I45" i="2" s="1"/>
  <c r="I29" i="2"/>
  <c r="I17" i="2"/>
  <c r="P69" i="2"/>
  <c r="P56" i="2"/>
  <c r="P42" i="2"/>
  <c r="P45" i="2" s="1"/>
  <c r="P29" i="2"/>
  <c r="P17" i="2"/>
  <c r="G69" i="2"/>
  <c r="G56" i="2"/>
  <c r="G42" i="2"/>
  <c r="G45" i="2" s="1"/>
  <c r="G29" i="2"/>
  <c r="G17" i="2"/>
  <c r="P39" i="4" l="1"/>
  <c r="P41" i="4" s="1"/>
  <c r="M30" i="2"/>
  <c r="I30" i="2"/>
  <c r="Q30" i="2"/>
  <c r="L39" i="4"/>
  <c r="L41" i="4" s="1"/>
  <c r="O39" i="4"/>
  <c r="O41" i="4" s="1"/>
  <c r="M71" i="2"/>
  <c r="P30" i="2"/>
  <c r="I71" i="2"/>
  <c r="P23" i="3"/>
  <c r="P27" i="3" s="1"/>
  <c r="G39" i="4"/>
  <c r="G41" i="4" s="1"/>
  <c r="G20" i="3"/>
  <c r="G23" i="3" s="1"/>
  <c r="G27" i="3" s="1"/>
  <c r="G36" i="3" s="1"/>
  <c r="Q71" i="2"/>
  <c r="G30" i="2"/>
  <c r="P71" i="2"/>
  <c r="G71" i="2"/>
  <c r="P36" i="3" l="1"/>
  <c r="I38" i="3"/>
  <c r="I34" i="3"/>
  <c r="I39" i="3"/>
  <c r="I31" i="3"/>
  <c r="I30" i="3"/>
  <c r="I25" i="3"/>
  <c r="I22" i="3"/>
  <c r="I19" i="3"/>
  <c r="I18" i="3"/>
  <c r="I14" i="3"/>
  <c r="I13" i="3"/>
  <c r="I12" i="3"/>
  <c r="I11" i="3"/>
  <c r="I8" i="3"/>
  <c r="I7" i="3"/>
  <c r="L12" i="2" l="1"/>
  <c r="L11" i="2"/>
  <c r="K12" i="2"/>
  <c r="K11" i="2"/>
  <c r="J11" i="2"/>
  <c r="J12" i="2"/>
  <c r="J9" i="2" l="1"/>
  <c r="J39" i="2"/>
  <c r="J52" i="2"/>
  <c r="J10" i="2"/>
  <c r="J50" i="2"/>
  <c r="J20" i="2"/>
  <c r="J44" i="2"/>
  <c r="J62" i="2"/>
  <c r="J59" i="2"/>
  <c r="J35" i="2"/>
  <c r="J34" i="2"/>
  <c r="J14" i="2"/>
  <c r="K9" i="2"/>
  <c r="L9" i="2"/>
  <c r="L52" i="2"/>
  <c r="K52" i="2"/>
  <c r="K39" i="2"/>
  <c r="K44" i="2"/>
  <c r="K10" i="2"/>
  <c r="K50" i="2"/>
  <c r="K20" i="2"/>
  <c r="K62" i="2" l="1"/>
  <c r="K59" i="2"/>
  <c r="K28" i="2"/>
  <c r="K27" i="2"/>
  <c r="K26" i="2"/>
  <c r="L44" i="2"/>
  <c r="L39" i="2"/>
  <c r="L10" i="2" l="1"/>
  <c r="L50" i="2"/>
  <c r="L20" i="2"/>
  <c r="L59" i="2"/>
  <c r="L28" i="2"/>
  <c r="L27" i="2"/>
  <c r="L26" i="2"/>
  <c r="L25" i="2"/>
  <c r="N44" i="2"/>
  <c r="N11" i="2"/>
  <c r="N12" i="2" l="1"/>
  <c r="N52" i="2"/>
  <c r="N10" i="2"/>
  <c r="N39" i="2"/>
  <c r="N9" i="2"/>
  <c r="N50" i="2"/>
  <c r="N20" i="2"/>
  <c r="I9" i="4"/>
  <c r="I18" i="4" s="1"/>
  <c r="M9" i="4"/>
  <c r="M18" i="4" s="1"/>
  <c r="M20" i="4" s="1"/>
  <c r="N62" i="2"/>
  <c r="N59" i="2"/>
  <c r="N48" i="2"/>
  <c r="N35" i="2"/>
  <c r="N34" i="2"/>
  <c r="N28" i="2"/>
  <c r="N27" i="2"/>
  <c r="N26" i="2"/>
  <c r="J44" i="3"/>
  <c r="J39" i="3"/>
  <c r="M39" i="3" s="1"/>
  <c r="J38" i="3"/>
  <c r="M38" i="3" s="1"/>
  <c r="J34" i="3"/>
  <c r="M34" i="3" s="1"/>
  <c r="J31" i="3"/>
  <c r="M31" i="3" s="1"/>
  <c r="J30" i="3"/>
  <c r="M30" i="3" s="1"/>
  <c r="J22" i="3"/>
  <c r="M22" i="3" s="1"/>
  <c r="J13" i="3"/>
  <c r="M13" i="3" s="1"/>
  <c r="J7" i="3"/>
  <c r="M7" i="3" s="1"/>
  <c r="N44" i="3"/>
  <c r="N43" i="3"/>
  <c r="N39" i="3"/>
  <c r="Q39" i="3" s="1"/>
  <c r="N38" i="3"/>
  <c r="Q38" i="3" s="1"/>
  <c r="Q34" i="3"/>
  <c r="N31" i="3"/>
  <c r="Q31" i="3" s="1"/>
  <c r="N30" i="3"/>
  <c r="Q30" i="3" s="1"/>
  <c r="H18" i="4"/>
  <c r="H20" i="4" s="1"/>
  <c r="F18" i="4"/>
  <c r="F20" i="4" s="1"/>
  <c r="E18" i="4"/>
  <c r="E20" i="4" s="1"/>
  <c r="D18" i="4"/>
  <c r="D20" i="4" s="1"/>
  <c r="C18" i="4"/>
  <c r="C20" i="4" s="1"/>
  <c r="K18" i="4"/>
  <c r="K20" i="4" s="1"/>
  <c r="J18" i="4"/>
  <c r="J20" i="4" s="1"/>
  <c r="N18" i="4"/>
  <c r="N20" i="4" s="1"/>
  <c r="H37" i="4"/>
  <c r="F37" i="4"/>
  <c r="E37" i="4"/>
  <c r="D37" i="4"/>
  <c r="C37" i="4"/>
  <c r="K37" i="4"/>
  <c r="J37" i="4"/>
  <c r="I37" i="4"/>
  <c r="N37" i="4"/>
  <c r="M37" i="4"/>
  <c r="H28" i="4"/>
  <c r="F28" i="4"/>
  <c r="E28" i="4"/>
  <c r="D28" i="4"/>
  <c r="C28" i="4"/>
  <c r="K28" i="4"/>
  <c r="J28" i="4"/>
  <c r="I28" i="4"/>
  <c r="N28" i="4"/>
  <c r="M28" i="4"/>
  <c r="H9" i="3"/>
  <c r="F9" i="3"/>
  <c r="F16" i="3" s="1"/>
  <c r="F20" i="3" s="1"/>
  <c r="F23" i="3" s="1"/>
  <c r="F27" i="3" s="1"/>
  <c r="F36" i="3" s="1"/>
  <c r="E9" i="3"/>
  <c r="E16" i="3" s="1"/>
  <c r="E20" i="3" s="1"/>
  <c r="E23" i="3" s="1"/>
  <c r="E27" i="3" s="1"/>
  <c r="E36" i="3" s="1"/>
  <c r="D9" i="3"/>
  <c r="D16" i="3" s="1"/>
  <c r="D20" i="3" s="1"/>
  <c r="D23" i="3" s="1"/>
  <c r="D27" i="3" s="1"/>
  <c r="D36" i="3" s="1"/>
  <c r="C9" i="3"/>
  <c r="C16" i="3" s="1"/>
  <c r="C20" i="3" s="1"/>
  <c r="C23" i="3" s="1"/>
  <c r="C27" i="3" s="1"/>
  <c r="C36" i="3" s="1"/>
  <c r="K9" i="3"/>
  <c r="I9" i="3"/>
  <c r="I16" i="3" s="1"/>
  <c r="I20" i="3" s="1"/>
  <c r="I23" i="3" s="1"/>
  <c r="I27" i="3" s="1"/>
  <c r="I36" i="3" s="1"/>
  <c r="O9" i="3"/>
  <c r="Q9" i="3"/>
  <c r="L9" i="3"/>
  <c r="O69" i="2"/>
  <c r="O56" i="2"/>
  <c r="O42" i="2"/>
  <c r="O45" i="2" s="1"/>
  <c r="O29" i="2"/>
  <c r="O17" i="2"/>
  <c r="L16" i="3" l="1"/>
  <c r="L20" i="3" s="1"/>
  <c r="L23" i="3" s="1"/>
  <c r="L27" i="3" s="1"/>
  <c r="Q16" i="3"/>
  <c r="Q20" i="3" s="1"/>
  <c r="O16" i="3"/>
  <c r="O20" i="3" s="1"/>
  <c r="O23" i="3" s="1"/>
  <c r="O27" i="3" s="1"/>
  <c r="K16" i="3"/>
  <c r="K20" i="3" s="1"/>
  <c r="K23" i="3" s="1"/>
  <c r="K27" i="3" s="1"/>
  <c r="H16" i="3"/>
  <c r="H20" i="3" s="1"/>
  <c r="H23" i="3" s="1"/>
  <c r="H27" i="3" s="1"/>
  <c r="H36" i="3" s="1"/>
  <c r="J9" i="3"/>
  <c r="M9" i="3"/>
  <c r="H39" i="4"/>
  <c r="H41" i="4" s="1"/>
  <c r="C39" i="4"/>
  <c r="C41" i="4" s="1"/>
  <c r="D39" i="4"/>
  <c r="D41" i="4" s="1"/>
  <c r="E39" i="4"/>
  <c r="E41" i="4" s="1"/>
  <c r="F39" i="4"/>
  <c r="F41" i="4" s="1"/>
  <c r="I20" i="4"/>
  <c r="I39" i="4" s="1"/>
  <c r="I41" i="4" s="1"/>
  <c r="M39" i="4"/>
  <c r="M41" i="4" s="1"/>
  <c r="N9" i="3"/>
  <c r="J39" i="4"/>
  <c r="J41" i="4" s="1"/>
  <c r="N39" i="4"/>
  <c r="N41" i="4" s="1"/>
  <c r="K39" i="4"/>
  <c r="K41" i="4" s="1"/>
  <c r="O71" i="2"/>
  <c r="O30" i="2"/>
  <c r="D69" i="2"/>
  <c r="E69" i="2"/>
  <c r="F69" i="2"/>
  <c r="H69" i="2"/>
  <c r="J69" i="2"/>
  <c r="K69" i="2"/>
  <c r="L69" i="2"/>
  <c r="N69" i="2"/>
  <c r="C69" i="2"/>
  <c r="D56" i="2"/>
  <c r="E56" i="2"/>
  <c r="F56" i="2"/>
  <c r="H56" i="2"/>
  <c r="J56" i="2"/>
  <c r="K56" i="2"/>
  <c r="L56" i="2"/>
  <c r="N56" i="2"/>
  <c r="C56" i="2"/>
  <c r="D42" i="2"/>
  <c r="D45" i="2" s="1"/>
  <c r="E42" i="2"/>
  <c r="E45" i="2" s="1"/>
  <c r="F42" i="2"/>
  <c r="F45" i="2" s="1"/>
  <c r="H42" i="2"/>
  <c r="H45" i="2" s="1"/>
  <c r="J42" i="2"/>
  <c r="J45" i="2" s="1"/>
  <c r="K42" i="2"/>
  <c r="K45" i="2" s="1"/>
  <c r="L42" i="2"/>
  <c r="L45" i="2" s="1"/>
  <c r="N42" i="2"/>
  <c r="N45" i="2" s="1"/>
  <c r="C42" i="2"/>
  <c r="C45" i="2" s="1"/>
  <c r="D29" i="2"/>
  <c r="E29" i="2"/>
  <c r="F29" i="2"/>
  <c r="H29" i="2"/>
  <c r="J29" i="2"/>
  <c r="K29" i="2"/>
  <c r="L29" i="2"/>
  <c r="N29" i="2"/>
  <c r="C29" i="2"/>
  <c r="D17" i="2"/>
  <c r="E17" i="2"/>
  <c r="F17" i="2"/>
  <c r="H17" i="2"/>
  <c r="J17" i="2"/>
  <c r="K17" i="2"/>
  <c r="L17" i="2"/>
  <c r="N17" i="2"/>
  <c r="C17" i="2"/>
  <c r="L36" i="3" l="1"/>
  <c r="K36" i="3"/>
  <c r="O36" i="3"/>
  <c r="Q23" i="3"/>
  <c r="Q27" i="3" s="1"/>
  <c r="J16" i="3"/>
  <c r="J20" i="3" s="1"/>
  <c r="J23" i="3" s="1"/>
  <c r="J27" i="3" s="1"/>
  <c r="N16" i="3"/>
  <c r="N20" i="3" s="1"/>
  <c r="N23" i="3" s="1"/>
  <c r="N27" i="3" s="1"/>
  <c r="M16" i="3"/>
  <c r="M20" i="3" s="1"/>
  <c r="C71" i="2"/>
  <c r="D30" i="2"/>
  <c r="E30" i="2"/>
  <c r="L71" i="2"/>
  <c r="N30" i="2"/>
  <c r="F30" i="2"/>
  <c r="L30" i="2"/>
  <c r="F71" i="2"/>
  <c r="K30" i="2"/>
  <c r="J30" i="2"/>
  <c r="N71" i="2"/>
  <c r="E71" i="2"/>
  <c r="D71" i="2"/>
  <c r="K71" i="2"/>
  <c r="J71" i="2"/>
  <c r="H71" i="2"/>
  <c r="H30" i="2"/>
  <c r="C30" i="2"/>
  <c r="M23" i="3" l="1"/>
  <c r="M27" i="3" s="1"/>
  <c r="J36" i="3"/>
  <c r="N36" i="3"/>
  <c r="Q36" i="3"/>
  <c r="M36" i="3" l="1"/>
</calcChain>
</file>

<file path=xl/sharedStrings.xml><?xml version="1.0" encoding="utf-8"?>
<sst xmlns="http://schemas.openxmlformats.org/spreadsheetml/2006/main" count="206" uniqueCount="177">
  <si>
    <t>SKONSOLIDOWANY RACHUNEK PRZEPŁYWÓW PIENIĘŻNYCH
dane w tys. zł, zgodne z MSSF</t>
  </si>
  <si>
    <t>SKONSOLIDOWANY BILANS</t>
  </si>
  <si>
    <t>SKONSOLIDOWANY RACHUNEK ZYSKÓW I STRAT</t>
  </si>
  <si>
    <t>SKONSOLIDOWANY RACHUNEK PRZEPŁYWÓW PIENIĘŻNYCH</t>
  </si>
  <si>
    <t>Dane kwartalne</t>
  </si>
  <si>
    <t>Dane roczne na dzień 31 marca</t>
  </si>
  <si>
    <t>SKONSOLIDOWANY BILANS
dane w tys. PLN, zgodne z MSSF</t>
  </si>
  <si>
    <t>2017/18</t>
  </si>
  <si>
    <t>2016/17</t>
  </si>
  <si>
    <t>2015/16</t>
  </si>
  <si>
    <t>Dane roczne (1.04-31.03)</t>
  </si>
  <si>
    <t xml:space="preserve">RACHUNEK ZYSKÓW I STRAT, dane w tys. PLN, zgodne z MSSF </t>
  </si>
  <si>
    <t>Rok obrotowy Grupy "MERCOR" S.A. trwa od 1 kwietnia do 31 marca</t>
  </si>
  <si>
    <t>Działalność kontynuowana</t>
  </si>
  <si>
    <t>Przychody ze sprzedaży</t>
  </si>
  <si>
    <t>Koszt własny sprzedaży</t>
  </si>
  <si>
    <t>Zysk brutto na sprzedaży</t>
  </si>
  <si>
    <t>Pozostałe przychody operacyjne</t>
  </si>
  <si>
    <t>Koszty sprzedaży</t>
  </si>
  <si>
    <t>Koszty ogólnego zarządu</t>
  </si>
  <si>
    <t>Pozostałe koszty operacyjne</t>
  </si>
  <si>
    <t>Zysk na działalności operacyjnej</t>
  </si>
  <si>
    <t>Przychody finansowe</t>
  </si>
  <si>
    <t>Koszty finansowe</t>
  </si>
  <si>
    <t>Zysk przed opodatkowaniem</t>
  </si>
  <si>
    <t>Podatek dochodowy</t>
  </si>
  <si>
    <t>Zysk netto na działalności kontynuowanej</t>
  </si>
  <si>
    <t>Zysk netto</t>
  </si>
  <si>
    <t>Przypadające:</t>
  </si>
  <si>
    <t>Akcjonariuszom podmiotu dominującego</t>
  </si>
  <si>
    <t>Udziałom niekontrolującym</t>
  </si>
  <si>
    <t>Inne całkowite dochody</t>
  </si>
  <si>
    <t>Całkowite dochody ogółem</t>
  </si>
  <si>
    <t>Zysk na akcję (PLN):</t>
  </si>
  <si>
    <t>Z działalności kontynuowanej:</t>
  </si>
  <si>
    <t>Zwykły</t>
  </si>
  <si>
    <t>Rozwodniony</t>
  </si>
  <si>
    <t>Z działalności kontynuowanej i zaniechanej:</t>
  </si>
  <si>
    <t>Aktywa trwałe</t>
  </si>
  <si>
    <t>Wartość firmy</t>
  </si>
  <si>
    <t>Pozostałe wartości niematerialne</t>
  </si>
  <si>
    <t>Rzeczowe aktywa trwałe</t>
  </si>
  <si>
    <t>Aktywa z tytułu odroczonego podatku dochodowego</t>
  </si>
  <si>
    <t>Inne aktywa długoterminowe</t>
  </si>
  <si>
    <t>Aktywa obrotowe</t>
  </si>
  <si>
    <t>Zapasy</t>
  </si>
  <si>
    <t>Aktywa finansowe</t>
  </si>
  <si>
    <t>Należności z tytułu dostaw i usług oraz pozostałe należności</t>
  </si>
  <si>
    <t>Należności z tytułu podatku dochodowego</t>
  </si>
  <si>
    <t>Inne aktywa obrotowe</t>
  </si>
  <si>
    <t>Środki pieniężne i ich ekwiwalenty</t>
  </si>
  <si>
    <t>Aktywa razem</t>
  </si>
  <si>
    <t>PASYWA</t>
  </si>
  <si>
    <t>AKTYWA</t>
  </si>
  <si>
    <t>Kapitał własny</t>
  </si>
  <si>
    <t>Kapitał akcyjny</t>
  </si>
  <si>
    <t>Kapitał zapasowy ze sprzedaży akcji powyżej ich wartości nominalnej</t>
  </si>
  <si>
    <t>Kapitały rezerwowe</t>
  </si>
  <si>
    <t>Kapitał z aktualizacji wyceny</t>
  </si>
  <si>
    <t>Zyski zatrzymane</t>
  </si>
  <si>
    <t>Kapitały przypadające akcjonariuszom podmiotu dominującego</t>
  </si>
  <si>
    <t>Udziały niekontrolujące</t>
  </si>
  <si>
    <t>Razem kapitały własne</t>
  </si>
  <si>
    <t>Zobowiązanie długoterminowe</t>
  </si>
  <si>
    <t>Długoterminowe pożyczki i kredyty</t>
  </si>
  <si>
    <t>Rezerwa z tytułu podatku odroczonego</t>
  </si>
  <si>
    <t>Rezerwy na zobowiązania</t>
  </si>
  <si>
    <t>Przychody przyszłych okresów</t>
  </si>
  <si>
    <t>Pozostałe zobowiązania finansowe</t>
  </si>
  <si>
    <t>Zobowiązania krótkoterminowe</t>
  </si>
  <si>
    <t>Krótkoterminowe pożyczki i kredyty</t>
  </si>
  <si>
    <t>Działalność operacyjna</t>
  </si>
  <si>
    <t>Korekty o pozycje:</t>
  </si>
  <si>
    <t>Amortyzacja</t>
  </si>
  <si>
    <t>Zmiana stanu zapasów</t>
  </si>
  <si>
    <t>Zmiana stanu należności</t>
  </si>
  <si>
    <t>Zmiana stanu zobowiązań i rezerw</t>
  </si>
  <si>
    <t>Zmiana stanu innych aktywów obrotowych</t>
  </si>
  <si>
    <t>Razem korekty</t>
  </si>
  <si>
    <t>Podatek dochodowy zapłacony</t>
  </si>
  <si>
    <t>Działalność inwestycyjna</t>
  </si>
  <si>
    <t>Wydatki na zakup rzeczowych aktywów trwałych oraz wartości niematerialnych</t>
  </si>
  <si>
    <t>Działalność finansowa</t>
  </si>
  <si>
    <t>Odsetki zapłacone</t>
  </si>
  <si>
    <t>Zmiana stanu środków pieniężnych z działalności kontynuowanej</t>
  </si>
  <si>
    <t>Zysk (strata) netto z działalności zaniechanej</t>
  </si>
  <si>
    <t>Zobowiązania z tytułu dostaw i usług oraz pozostałe zobowiązania</t>
  </si>
  <si>
    <t>Transakcje terminowe typu forward</t>
  </si>
  <si>
    <t>Zobowiązanie z tytułu podatku dochodowego</t>
  </si>
  <si>
    <t>Pasywa razem</t>
  </si>
  <si>
    <t>Zmiana stanu środków pieniężnych</t>
  </si>
  <si>
    <t>Środki pieniężne na początek okresu</t>
  </si>
  <si>
    <t>Środki pieniężne na koniec okresu</t>
  </si>
  <si>
    <t>Dane na koniec okresu</t>
  </si>
  <si>
    <t xml:space="preserve">Dane roczne  (1.04-31.03) - 12 miesięcy                                      </t>
  </si>
  <si>
    <t>* dane za 4 kw. wyliczone jako różnica, nieaudytowane.</t>
  </si>
  <si>
    <t>sierpień</t>
  </si>
  <si>
    <t>wrzesień</t>
  </si>
  <si>
    <t>październik</t>
  </si>
  <si>
    <t>styczeń</t>
  </si>
  <si>
    <t>kwiecień</t>
  </si>
  <si>
    <t>maj</t>
  </si>
  <si>
    <t>czerwiec</t>
  </si>
  <si>
    <t>lipiec</t>
  </si>
  <si>
    <t>listopad</t>
  </si>
  <si>
    <t>Kapitał z wyceny transakcji zabezpieczających i różnice kursowe z konsolidacji</t>
  </si>
  <si>
    <t>grudzień</t>
  </si>
  <si>
    <t>Aktywa z tytułu praw do użytkowania</t>
  </si>
  <si>
    <t>Różnice kursowe z przeliczenia jednostek zagranicznych</t>
  </si>
  <si>
    <t>Zobowiązania z tytułu praw do użytkowania</t>
  </si>
  <si>
    <t>Zobowiązania z tytułu leasingu</t>
  </si>
  <si>
    <t>Różnice kursowe z przeliczenia sprawozdań
finansowych jednostek zagranicznych
(MSSF 15)</t>
  </si>
  <si>
    <t>Zysk (strata) przed opodatkowaniem</t>
  </si>
  <si>
    <t>Odsetki naliczone</t>
  </si>
  <si>
    <t>(Zyski) straty z działalności inwestycyjne</t>
  </si>
  <si>
    <t>Inne korekty (różnice kursowe z konsolidacji)</t>
  </si>
  <si>
    <t>Środki pieniężne netto z działalności operacyjnej</t>
  </si>
  <si>
    <t>Odsetki uzyskane</t>
  </si>
  <si>
    <t>Wpływy ze sprzedaży rzeczowych aktywów trwałych</t>
  </si>
  <si>
    <t>Dotacje do projektów rozwojowych</t>
  </si>
  <si>
    <t>Środki pieniężne netto z działalności inwestycyjnej</t>
  </si>
  <si>
    <t>Zaciągnięcie (spłata) kredytów i pożyczek</t>
  </si>
  <si>
    <t>Zaciągnięcie (spłata) zobowiązań z tytułu leasingu</t>
  </si>
  <si>
    <t>Skup akcji własnych</t>
  </si>
  <si>
    <t>Wypłacone dywidendy</t>
  </si>
  <si>
    <t>Środki pieniężne netto z działalności finansowej</t>
  </si>
  <si>
    <t>Zmiana stanu środków pieniężnych z działalności zaniechanej (działalność operacyjna)</t>
  </si>
  <si>
    <t>Podstawowe dane finansowe za lata obrotowe 2015/2016 - 2020/2021</t>
  </si>
  <si>
    <t>2019/20</t>
  </si>
  <si>
    <t>2018/19</t>
  </si>
  <si>
    <t>(30.09.2020)</t>
  </si>
  <si>
    <t>(30.06.2020)</t>
  </si>
  <si>
    <t>(31.03.2020)</t>
  </si>
  <si>
    <t>(31.12.2019)</t>
  </si>
  <si>
    <t>(30.09.2019)</t>
  </si>
  <si>
    <t xml:space="preserve"> (30.06.2019)</t>
  </si>
  <si>
    <t>2Q  (30.09.2020)</t>
  </si>
  <si>
    <t>1Q (30.06.2020)</t>
  </si>
  <si>
    <t>4Q* (31.03.2019)</t>
  </si>
  <si>
    <t>3Q (31.12.2019)</t>
  </si>
  <si>
    <t>2Q (30.09.2019)</t>
  </si>
  <si>
    <t>1Q (30.06.2019)</t>
  </si>
  <si>
    <t>1Q 2019/20</t>
  </si>
  <si>
    <t>2Q 2019/20</t>
  </si>
  <si>
    <t>3Q 2019/20</t>
  </si>
  <si>
    <t>4Q 2019/20</t>
  </si>
  <si>
    <t>(31.12.2020)</t>
  </si>
  <si>
    <t>Akcje własne</t>
  </si>
  <si>
    <t>3Q  (31.12.2020)</t>
  </si>
  <si>
    <t>1Q 2020/21</t>
  </si>
  <si>
    <t>2Q 2020/21</t>
  </si>
  <si>
    <t>3Q 2020/21</t>
  </si>
  <si>
    <t>4Q* (31.03.2020)</t>
  </si>
  <si>
    <t>Wydatki na nabycie jednostek zależnych</t>
  </si>
  <si>
    <t>Udzielenie pożyczek</t>
  </si>
  <si>
    <t>Wpływy z podwyższenia kapitału spółki zależnej</t>
  </si>
  <si>
    <t>FY 2020/21</t>
  </si>
  <si>
    <t>FY 2019/20</t>
  </si>
  <si>
    <t>FY 2021/22</t>
  </si>
  <si>
    <t>luty</t>
  </si>
  <si>
    <t>marzec</t>
  </si>
  <si>
    <t>2020/21</t>
  </si>
  <si>
    <t>(31.03.2021)</t>
  </si>
  <si>
    <t>Należności z tytulu kaucji długoterminowych</t>
  </si>
  <si>
    <t>Aktywa z tytułu umów z klientami</t>
  </si>
  <si>
    <t>Należności z tytułu kaucji krótkoterminowych</t>
  </si>
  <si>
    <t>(01.04.2019)</t>
  </si>
  <si>
    <t>Zobowiązania z tytulu umów z klientami</t>
  </si>
  <si>
    <t>Pozostałe zobowiązania dlugoterminowe</t>
  </si>
  <si>
    <t>(Oczekiwana strata)/odwrócenie oczekiwanej straty kredytowej</t>
  </si>
  <si>
    <t>4Q  (31.03.2021)</t>
  </si>
  <si>
    <t>4Q 2020/21</t>
  </si>
  <si>
    <t>Zmiana stanu aktywów i zobowiązań z tytułu umów z klientami</t>
  </si>
  <si>
    <t>Zaciągnięcie (spłata) zobowiązań z tytułu praw do użytkowania</t>
  </si>
  <si>
    <t>1Q  (30.06.2021)</t>
  </si>
  <si>
    <t>(30.06.2021)</t>
  </si>
  <si>
    <t>1Q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</si>
</sst>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z_ł;\(#,##0\)\ _z_ł"/>
    <numFmt numFmtId="165" formatCode="0.0"/>
  </numFmts>
  <fonts count="45">
    <font>
      <sz val="11"/>
      <color theme="1"/>
      <name val="Czcionka tekstu podstawowego"/>
      <family val="2"/>
      <charset val="238"/>
    </font>
    <font>
      <b/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theme="1"/>
      <name val="Czcionka tekstu podstawowego"/>
      <family val="2"/>
      <charset val="238"/>
    </font>
    <font>
      <b/>
      <sz val="18"/>
      <color theme="1"/>
      <name val="Times New Roman"/>
      <family val="1"/>
      <charset val="238"/>
    </font>
    <font>
      <b/>
      <sz val="12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i/>
      <sz val="11"/>
      <color theme="1"/>
      <name val="Calibri"/>
      <family val="2"/>
      <scheme val="minor"/>
    </font>
    <font>
      <b/>
      <sz val="18"/>
      <color theme="0"/>
      <name val="Tahoma"/>
      <family val="2"/>
      <charset val="238"/>
    </font>
    <font>
      <b/>
      <sz val="8"/>
      <color theme="0"/>
      <name val="Tahoma"/>
      <family val="2"/>
      <charset val="238"/>
    </font>
    <font>
      <b/>
      <sz val="11"/>
      <color theme="0"/>
      <name val="Czcionka tekstu podstawowego"/>
      <charset val="238"/>
    </font>
    <font>
      <sz val="8"/>
      <color theme="0"/>
      <name val="Tahoma"/>
      <family val="2"/>
      <charset val="238"/>
    </font>
    <font>
      <b/>
      <sz val="11"/>
      <color rgb="FFC00000"/>
      <name val="Czcionka tekstu podstawowego"/>
      <charset val="238"/>
    </font>
    <font>
      <i/>
      <sz val="9"/>
      <color theme="1"/>
      <name val="Czcionka tekstu podstawowego"/>
      <charset val="238"/>
    </font>
    <font>
      <sz val="10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sz val="8"/>
      <color rgb="FFC00000"/>
      <name val="Tahoma"/>
      <family val="2"/>
      <charset val="238"/>
    </font>
    <font>
      <sz val="8"/>
      <name val="Tahoma"/>
      <family val="2"/>
      <charset val="238"/>
    </font>
    <font>
      <b/>
      <sz val="10"/>
      <color theme="0"/>
      <name val="Tahoma"/>
      <family val="2"/>
      <charset val="238"/>
    </font>
    <font>
      <b/>
      <i/>
      <sz val="8"/>
      <color theme="1"/>
      <name val="Tahoma"/>
      <family val="2"/>
      <charset val="238"/>
    </font>
    <font>
      <sz val="7"/>
      <color rgb="FFC00000"/>
      <name val="Tahoma"/>
      <family val="2"/>
      <charset val="238"/>
    </font>
    <font>
      <b/>
      <sz val="8"/>
      <name val="Tahoma"/>
      <family val="2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sz val="11"/>
      <color rgb="FFC00000"/>
      <name val="Czcionka tekstu podstawowego"/>
      <family val="2"/>
      <charset val="238"/>
    </font>
    <font>
      <sz val="11"/>
      <color theme="5" tint="0.39997558519241921"/>
      <name val="Czcionka tekstu podstawowego"/>
      <family val="2"/>
      <charset val="238"/>
    </font>
    <font>
      <b/>
      <sz val="11"/>
      <color theme="5" tint="0.39997558519241921"/>
      <name val="Czcionka tekstu podstawowego"/>
      <family val="2"/>
      <charset val="238"/>
    </font>
    <font>
      <i/>
      <sz val="8"/>
      <name val="Tahoma"/>
      <family val="2"/>
      <charset val="238"/>
    </font>
    <font>
      <sz val="8"/>
      <color rgb="FFC00000"/>
      <name val="Czcionka tekstu podstawowego"/>
      <family val="2"/>
      <charset val="238"/>
    </font>
    <font>
      <sz val="9"/>
      <color rgb="FFC00000"/>
      <name val="Czcionka tekstu podstawowego"/>
      <family val="2"/>
      <charset val="238"/>
    </font>
    <font>
      <sz val="14"/>
      <color theme="0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theme="0"/>
      <name val="Tahoma"/>
      <family val="2"/>
      <charset val="238"/>
    </font>
    <font>
      <i/>
      <sz val="8"/>
      <color theme="1"/>
      <name val="Czcionka tekstu podstawowego"/>
      <family val="2"/>
      <charset val="238"/>
    </font>
    <font>
      <sz val="8"/>
      <color theme="1"/>
      <name val="Ebrima"/>
      <charset val="238"/>
    </font>
    <font>
      <i/>
      <sz val="8"/>
      <color theme="1"/>
      <name val="Ebrima"/>
      <charset val="238"/>
    </font>
    <font>
      <sz val="8"/>
      <name val="Ebrima"/>
      <charset val="238"/>
    </font>
    <font>
      <i/>
      <sz val="8"/>
      <name val="Ebrima"/>
      <charset val="238"/>
    </font>
    <font>
      <b/>
      <sz val="8"/>
      <color theme="0"/>
      <name val="Tahoma"/>
      <family val="2"/>
    </font>
    <font>
      <b/>
      <sz val="8"/>
      <color theme="1"/>
      <name val="Ebrima"/>
      <charset val="238"/>
    </font>
    <font>
      <sz val="8"/>
      <color rgb="FFC00000"/>
      <name val="Ebrima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329">
    <xf numFmtId="0" fontId="0" fillId="0" borderId="0" xfId="0"/>
    <xf numFmtId="0" fontId="3" fillId="2" borderId="0" xfId="0" applyFont="1" applyFill="1" applyAlignment="1" applyProtection="1"/>
    <xf numFmtId="0" fontId="0" fillId="2" borderId="0" xfId="0" applyFont="1" applyFill="1" applyAlignment="1"/>
    <xf numFmtId="0" fontId="3" fillId="2" borderId="0" xfId="0" applyFont="1" applyFill="1" applyBorder="1" applyAlignment="1" applyProtection="1"/>
    <xf numFmtId="0" fontId="4" fillId="2" borderId="0" xfId="0" applyFont="1" applyFill="1" applyAlignment="1" applyProtection="1"/>
    <xf numFmtId="0" fontId="4" fillId="2" borderId="0" xfId="0" applyFont="1" applyFill="1" applyAlignment="1"/>
    <xf numFmtId="0" fontId="5" fillId="2" borderId="0" xfId="0" applyFont="1" applyFill="1" applyAlignment="1" applyProtection="1"/>
    <xf numFmtId="0" fontId="0" fillId="2" borderId="0" xfId="0" applyFill="1"/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0" fillId="3" borderId="0" xfId="0" applyFill="1"/>
    <xf numFmtId="0" fontId="0" fillId="2" borderId="0" xfId="0" applyFill="1" applyAlignment="1">
      <alignment horizontal="left" vertical="center"/>
    </xf>
    <xf numFmtId="0" fontId="4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0" fillId="2" borderId="0" xfId="0" applyFont="1" applyFill="1"/>
    <xf numFmtId="0" fontId="4" fillId="2" borderId="0" xfId="0" applyFont="1" applyFill="1"/>
    <xf numFmtId="0" fontId="11" fillId="2" borderId="0" xfId="0" applyFont="1" applyFill="1"/>
    <xf numFmtId="0" fontId="0" fillId="4" borderId="0" xfId="0" applyFill="1" applyAlignment="1">
      <alignment horizontal="left" vertical="center"/>
    </xf>
    <xf numFmtId="0" fontId="0" fillId="4" borderId="0" xfId="0" applyFill="1"/>
    <xf numFmtId="3" fontId="0" fillId="2" borderId="0" xfId="0" applyNumberFormat="1" applyFill="1"/>
    <xf numFmtId="164" fontId="2" fillId="2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14" fillId="4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/>
    <xf numFmtId="164" fontId="9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10" fillId="2" borderId="0" xfId="0" applyFont="1" applyFill="1" applyAlignment="1">
      <alignment horizontal="left" vertical="center"/>
    </xf>
    <xf numFmtId="0" fontId="18" fillId="2" borderId="0" xfId="0" applyFont="1" applyFill="1"/>
    <xf numFmtId="164" fontId="9" fillId="0" borderId="8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3" fontId="9" fillId="0" borderId="8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19" fillId="0" borderId="8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righ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0" fontId="9" fillId="0" borderId="8" xfId="0" applyFont="1" applyFill="1" applyBorder="1"/>
    <xf numFmtId="0" fontId="9" fillId="0" borderId="1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 wrapText="1"/>
    </xf>
    <xf numFmtId="3" fontId="1" fillId="0" borderId="8" xfId="0" applyNumberFormat="1" applyFont="1" applyFill="1" applyBorder="1" applyAlignment="1">
      <alignment horizontal="right" vertical="center" wrapText="1"/>
    </xf>
    <xf numFmtId="164" fontId="2" fillId="0" borderId="8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0" fillId="0" borderId="0" xfId="0" applyNumberFormat="1" applyFont="1" applyFill="1" applyBorder="1" applyAlignment="1">
      <alignment horizontal="right" vertical="center" wrapText="1"/>
    </xf>
    <xf numFmtId="0" fontId="18" fillId="2" borderId="0" xfId="0" applyFont="1" applyFill="1" applyAlignment="1"/>
    <xf numFmtId="0" fontId="23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 indent="1"/>
    </xf>
    <xf numFmtId="0" fontId="8" fillId="0" borderId="8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9" fillId="2" borderId="0" xfId="0" applyFont="1" applyFill="1" applyBorder="1" applyAlignment="1">
      <alignment vertical="center" wrapText="1"/>
    </xf>
    <xf numFmtId="0" fontId="0" fillId="4" borderId="0" xfId="0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/>
    <xf numFmtId="0" fontId="27" fillId="2" borderId="0" xfId="0" applyFont="1" applyFill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26" fillId="0" borderId="0" xfId="0" applyFont="1" applyFill="1"/>
    <xf numFmtId="164" fontId="1" fillId="0" borderId="8" xfId="0" applyNumberFormat="1" applyFont="1" applyFill="1" applyBorder="1" applyAlignment="1">
      <alignment horizontal="right" vertical="center" wrapText="1"/>
    </xf>
    <xf numFmtId="0" fontId="8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3" fillId="0" borderId="0" xfId="0" applyFont="1" applyFill="1" applyBorder="1"/>
    <xf numFmtId="0" fontId="0" fillId="2" borderId="0" xfId="0" applyFill="1" applyAlignment="1"/>
    <xf numFmtId="0" fontId="28" fillId="2" borderId="0" xfId="0" applyFont="1" applyFill="1" applyAlignment="1"/>
    <xf numFmtId="0" fontId="29" fillId="2" borderId="0" xfId="0" applyFont="1" applyFill="1" applyAlignment="1"/>
    <xf numFmtId="0" fontId="30" fillId="2" borderId="0" xfId="0" applyFont="1" applyFill="1" applyAlignment="1">
      <alignment vertical="center"/>
    </xf>
    <xf numFmtId="0" fontId="21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19" fillId="0" borderId="14" xfId="0" applyFont="1" applyBorder="1" applyAlignment="1">
      <alignment horizontal="justify" vertical="center" wrapText="1"/>
    </xf>
    <xf numFmtId="0" fontId="9" fillId="0" borderId="14" xfId="0" applyFont="1" applyFill="1" applyBorder="1"/>
    <xf numFmtId="3" fontId="2" fillId="0" borderId="0" xfId="0" applyNumberFormat="1" applyFont="1" applyFill="1" applyBorder="1" applyAlignment="1">
      <alignment horizontal="right" vertical="center" wrapText="1"/>
    </xf>
    <xf numFmtId="0" fontId="21" fillId="0" borderId="8" xfId="0" applyFont="1" applyBorder="1" applyAlignment="1">
      <alignment horizontal="left" vertical="center" wrapText="1" indent="1"/>
    </xf>
    <xf numFmtId="0" fontId="31" fillId="3" borderId="0" xfId="0" applyFont="1" applyFill="1"/>
    <xf numFmtId="0" fontId="19" fillId="3" borderId="0" xfId="0" applyFont="1" applyFill="1"/>
    <xf numFmtId="0" fontId="33" fillId="3" borderId="0" xfId="0" applyFont="1" applyFill="1"/>
    <xf numFmtId="0" fontId="0" fillId="3" borderId="0" xfId="0" applyFill="1" applyAlignment="1"/>
    <xf numFmtId="0" fontId="0" fillId="2" borderId="0" xfId="0" applyFill="1" applyBorder="1"/>
    <xf numFmtId="0" fontId="0" fillId="0" borderId="6" xfId="0" applyFill="1" applyBorder="1"/>
    <xf numFmtId="49" fontId="14" fillId="5" borderId="7" xfId="0" applyNumberFormat="1" applyFont="1" applyFill="1" applyBorder="1"/>
    <xf numFmtId="49" fontId="14" fillId="5" borderId="3" xfId="0" applyNumberFormat="1" applyFont="1" applyFill="1" applyBorder="1"/>
    <xf numFmtId="49" fontId="14" fillId="5" borderId="4" xfId="0" applyNumberFormat="1" applyFont="1" applyFill="1" applyBorder="1"/>
    <xf numFmtId="0" fontId="13" fillId="5" borderId="9" xfId="0" applyFont="1" applyFill="1" applyBorder="1" applyAlignment="1">
      <alignment vertical="center" wrapText="1"/>
    </xf>
    <xf numFmtId="0" fontId="13" fillId="5" borderId="11" xfId="0" applyFont="1" applyFill="1" applyBorder="1" applyAlignment="1">
      <alignment vertical="center" wrapText="1"/>
    </xf>
    <xf numFmtId="0" fontId="0" fillId="0" borderId="12" xfId="0" applyFill="1" applyBorder="1"/>
    <xf numFmtId="3" fontId="1" fillId="0" borderId="1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/>
    <xf numFmtId="0" fontId="38" fillId="0" borderId="8" xfId="0" applyFont="1" applyBorder="1" applyAlignment="1">
      <alignment horizontal="right" vertical="center"/>
    </xf>
    <xf numFmtId="164" fontId="2" fillId="6" borderId="0" xfId="0" applyNumberFormat="1" applyFont="1" applyFill="1" applyBorder="1" applyAlignment="1">
      <alignment horizontal="right" vertical="center" wrapText="1"/>
    </xf>
    <xf numFmtId="0" fontId="9" fillId="6" borderId="0" xfId="0" applyFont="1" applyFill="1" applyBorder="1" applyAlignment="1">
      <alignment horizontal="right" vertical="center" wrapText="1"/>
    </xf>
    <xf numFmtId="3" fontId="9" fillId="6" borderId="1" xfId="0" applyNumberFormat="1" applyFont="1" applyFill="1" applyBorder="1" applyAlignment="1">
      <alignment horizontal="right" vertical="center" wrapText="1"/>
    </xf>
    <xf numFmtId="0" fontId="9" fillId="6" borderId="1" xfId="0" applyFont="1" applyFill="1" applyBorder="1" applyAlignment="1">
      <alignment horizontal="right" vertical="center" wrapText="1"/>
    </xf>
    <xf numFmtId="3" fontId="9" fillId="6" borderId="0" xfId="0" applyNumberFormat="1" applyFont="1" applyFill="1" applyBorder="1" applyAlignment="1">
      <alignment horizontal="right" vertical="center" wrapText="1"/>
    </xf>
    <xf numFmtId="3" fontId="8" fillId="6" borderId="10" xfId="0" applyNumberFormat="1" applyFont="1" applyFill="1" applyBorder="1" applyAlignment="1">
      <alignment horizontal="right" vertical="center" wrapText="1"/>
    </xf>
    <xf numFmtId="3" fontId="8" fillId="6" borderId="11" xfId="0" applyNumberFormat="1" applyFont="1" applyFill="1" applyBorder="1" applyAlignment="1">
      <alignment horizontal="right" vertical="center" wrapText="1"/>
    </xf>
    <xf numFmtId="0" fontId="19" fillId="6" borderId="1" xfId="0" applyFont="1" applyFill="1" applyBorder="1" applyAlignment="1">
      <alignment horizontal="right" vertical="center" wrapText="1"/>
    </xf>
    <xf numFmtId="3" fontId="8" fillId="6" borderId="12" xfId="0" applyNumberFormat="1" applyFont="1" applyFill="1" applyBorder="1" applyAlignment="1">
      <alignment horizontal="right" vertical="center" wrapText="1"/>
    </xf>
    <xf numFmtId="3" fontId="39" fillId="6" borderId="8" xfId="0" applyNumberFormat="1" applyFont="1" applyFill="1" applyBorder="1" applyAlignment="1">
      <alignment horizontal="right" vertical="center" wrapText="1"/>
    </xf>
    <xf numFmtId="0" fontId="39" fillId="6" borderId="8" xfId="0" applyFont="1" applyFill="1" applyBorder="1" applyAlignment="1">
      <alignment horizontal="right" vertical="center" wrapText="1"/>
    </xf>
    <xf numFmtId="0" fontId="37" fillId="6" borderId="8" xfId="0" applyFont="1" applyFill="1" applyBorder="1"/>
    <xf numFmtId="3" fontId="38" fillId="6" borderId="8" xfId="0" applyNumberFormat="1" applyFont="1" applyFill="1" applyBorder="1" applyAlignment="1">
      <alignment horizontal="right" vertical="center" wrapText="1"/>
    </xf>
    <xf numFmtId="0" fontId="38" fillId="6" borderId="8" xfId="0" applyFont="1" applyFill="1" applyBorder="1" applyAlignment="1">
      <alignment horizontal="right" vertical="center" wrapText="1"/>
    </xf>
    <xf numFmtId="3" fontId="8" fillId="6" borderId="9" xfId="0" applyNumberFormat="1" applyFont="1" applyFill="1" applyBorder="1" applyAlignment="1">
      <alignment horizontal="right" vertical="center" wrapText="1"/>
    </xf>
    <xf numFmtId="0" fontId="8" fillId="6" borderId="13" xfId="0" applyFont="1" applyFill="1" applyBorder="1" applyAlignment="1">
      <alignment horizontal="right" vertical="center" wrapText="1"/>
    </xf>
    <xf numFmtId="3" fontId="8" fillId="6" borderId="0" xfId="0" applyNumberFormat="1" applyFont="1" applyFill="1" applyBorder="1" applyAlignment="1">
      <alignment horizontal="right" vertical="center" wrapText="1"/>
    </xf>
    <xf numFmtId="3" fontId="19" fillId="6" borderId="0" xfId="0" applyNumberFormat="1" applyFont="1" applyFill="1" applyBorder="1" applyAlignment="1">
      <alignment horizontal="right" vertical="center" wrapText="1"/>
    </xf>
    <xf numFmtId="0" fontId="19" fillId="6" borderId="0" xfId="0" applyFont="1" applyFill="1" applyBorder="1" applyAlignment="1">
      <alignment horizontal="right" vertical="center" wrapText="1"/>
    </xf>
    <xf numFmtId="0" fontId="9" fillId="6" borderId="6" xfId="0" applyFont="1" applyFill="1" applyBorder="1" applyAlignment="1">
      <alignment horizontal="right" vertical="center" wrapText="1"/>
    </xf>
    <xf numFmtId="3" fontId="9" fillId="0" borderId="8" xfId="0" applyNumberFormat="1" applyFont="1" applyFill="1" applyBorder="1"/>
    <xf numFmtId="3" fontId="9" fillId="0" borderId="0" xfId="0" applyNumberFormat="1" applyFont="1" applyFill="1" applyBorder="1"/>
    <xf numFmtId="3" fontId="8" fillId="0" borderId="1" xfId="0" applyNumberFormat="1" applyFont="1" applyBorder="1" applyAlignment="1">
      <alignment horizontal="right" vertical="center" wrapText="1"/>
    </xf>
    <xf numFmtId="3" fontId="0" fillId="0" borderId="0" xfId="0" applyNumberFormat="1" applyFill="1" applyBorder="1"/>
    <xf numFmtId="3" fontId="9" fillId="0" borderId="0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Fill="1" applyBorder="1"/>
    <xf numFmtId="3" fontId="21" fillId="6" borderId="0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 wrapText="1"/>
    </xf>
    <xf numFmtId="3" fontId="19" fillId="6" borderId="8" xfId="0" applyNumberFormat="1" applyFont="1" applyFill="1" applyBorder="1" applyAlignment="1">
      <alignment horizontal="right" vertical="center" wrapText="1"/>
    </xf>
    <xf numFmtId="0" fontId="19" fillId="6" borderId="8" xfId="0" applyFont="1" applyFill="1" applyBorder="1" applyAlignment="1">
      <alignment horizontal="right" vertical="center" wrapText="1"/>
    </xf>
    <xf numFmtId="3" fontId="9" fillId="6" borderId="13" xfId="0" applyNumberFormat="1" applyFont="1" applyFill="1" applyBorder="1" applyAlignment="1">
      <alignment horizontal="right" vertical="center" wrapText="1"/>
    </xf>
    <xf numFmtId="3" fontId="9" fillId="6" borderId="8" xfId="0" applyNumberFormat="1" applyFont="1" applyFill="1" applyBorder="1" applyAlignment="1">
      <alignment horizontal="right" vertical="center" wrapText="1"/>
    </xf>
    <xf numFmtId="0" fontId="9" fillId="6" borderId="8" xfId="0" applyFont="1" applyFill="1" applyBorder="1" applyAlignment="1">
      <alignment horizontal="right" vertical="center" wrapText="1"/>
    </xf>
    <xf numFmtId="164" fontId="21" fillId="6" borderId="8" xfId="0" applyNumberFormat="1" applyFont="1" applyFill="1" applyBorder="1" applyAlignment="1">
      <alignment horizontal="right" vertical="center" wrapText="1"/>
    </xf>
    <xf numFmtId="164" fontId="2" fillId="6" borderId="9" xfId="0" applyNumberFormat="1" applyFont="1" applyFill="1" applyBorder="1" applyAlignment="1">
      <alignment horizontal="right" vertical="center" wrapText="1"/>
    </xf>
    <xf numFmtId="164" fontId="1" fillId="6" borderId="9" xfId="0" applyNumberFormat="1" applyFont="1" applyFill="1" applyBorder="1" applyAlignment="1">
      <alignment horizontal="right" vertical="center" wrapText="1"/>
    </xf>
    <xf numFmtId="3" fontId="19" fillId="6" borderId="1" xfId="0" applyNumberFormat="1" applyFont="1" applyFill="1" applyBorder="1" applyAlignment="1">
      <alignment horizontal="right" vertical="center" wrapText="1"/>
    </xf>
    <xf numFmtId="3" fontId="8" fillId="6" borderId="1" xfId="0" applyNumberFormat="1" applyFont="1" applyFill="1" applyBorder="1" applyAlignment="1">
      <alignment horizontal="right" vertical="center" wrapText="1"/>
    </xf>
    <xf numFmtId="3" fontId="9" fillId="6" borderId="11" xfId="0" applyNumberFormat="1" applyFont="1" applyFill="1" applyBorder="1" applyAlignment="1">
      <alignment horizontal="right" vertical="center" wrapText="1"/>
    </xf>
    <xf numFmtId="3" fontId="9" fillId="6" borderId="0" xfId="0" applyNumberFormat="1" applyFont="1" applyFill="1" applyBorder="1" applyAlignment="1">
      <alignment vertical="center"/>
    </xf>
    <xf numFmtId="3" fontId="21" fillId="6" borderId="0" xfId="0" applyNumberFormat="1" applyFont="1" applyFill="1" applyBorder="1" applyAlignment="1">
      <alignment vertical="center" wrapText="1"/>
    </xf>
    <xf numFmtId="3" fontId="8" fillId="6" borderId="8" xfId="0" applyNumberFormat="1" applyFont="1" applyFill="1" applyBorder="1" applyAlignment="1">
      <alignment horizontal="right" vertical="center" wrapText="1"/>
    </xf>
    <xf numFmtId="0" fontId="19" fillId="6" borderId="0" xfId="0" applyFont="1" applyFill="1" applyBorder="1" applyAlignment="1">
      <alignment horizontal="right" vertical="center"/>
    </xf>
    <xf numFmtId="3" fontId="9" fillId="6" borderId="12" xfId="0" applyNumberFormat="1" applyFont="1" applyFill="1" applyBorder="1" applyAlignment="1">
      <alignment horizontal="right" vertical="center" wrapText="1"/>
    </xf>
    <xf numFmtId="3" fontId="8" fillId="6" borderId="6" xfId="0" applyNumberFormat="1" applyFont="1" applyFill="1" applyBorder="1" applyAlignment="1">
      <alignment horizontal="right" vertical="center" wrapText="1"/>
    </xf>
    <xf numFmtId="0" fontId="25" fillId="6" borderId="6" xfId="0" applyFont="1" applyFill="1" applyBorder="1" applyAlignment="1">
      <alignment horizontal="right" vertical="center" wrapText="1"/>
    </xf>
    <xf numFmtId="3" fontId="9" fillId="6" borderId="10" xfId="0" applyNumberFormat="1" applyFont="1" applyFill="1" applyBorder="1" applyAlignment="1">
      <alignment horizontal="right" vertical="center" wrapText="1"/>
    </xf>
    <xf numFmtId="0" fontId="8" fillId="6" borderId="10" xfId="0" applyFont="1" applyFill="1" applyBorder="1" applyAlignment="1">
      <alignment horizontal="right" vertical="center" wrapText="1"/>
    </xf>
    <xf numFmtId="3" fontId="9" fillId="6" borderId="6" xfId="0" applyNumberFormat="1" applyFont="1" applyFill="1" applyBorder="1" applyAlignment="1">
      <alignment horizontal="right" vertical="center" wrapText="1"/>
    </xf>
    <xf numFmtId="0" fontId="9" fillId="6" borderId="10" xfId="0" applyFont="1" applyFill="1" applyBorder="1" applyAlignment="1">
      <alignment horizontal="right" vertical="center" wrapText="1"/>
    </xf>
    <xf numFmtId="3" fontId="19" fillId="6" borderId="8" xfId="0" applyNumberFormat="1" applyFont="1" applyFill="1" applyBorder="1" applyAlignment="1">
      <alignment horizontal="right" vertical="center"/>
    </xf>
    <xf numFmtId="3" fontId="9" fillId="6" borderId="9" xfId="0" applyNumberFormat="1" applyFont="1" applyFill="1" applyBorder="1" applyAlignment="1">
      <alignment horizontal="right" vertical="center" wrapText="1"/>
    </xf>
    <xf numFmtId="0" fontId="9" fillId="6" borderId="13" xfId="0" applyFont="1" applyFill="1" applyBorder="1" applyAlignment="1">
      <alignment horizontal="right" vertical="center" wrapText="1"/>
    </xf>
    <xf numFmtId="3" fontId="21" fillId="6" borderId="8" xfId="0" applyNumberFormat="1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justify" vertical="center" wrapText="1"/>
    </xf>
    <xf numFmtId="164" fontId="21" fillId="6" borderId="0" xfId="0" applyNumberFormat="1" applyFont="1" applyFill="1" applyBorder="1" applyAlignment="1">
      <alignment horizontal="right" vertical="center" wrapText="1"/>
    </xf>
    <xf numFmtId="4" fontId="21" fillId="6" borderId="0" xfId="0" applyNumberFormat="1" applyFont="1" applyFill="1" applyBorder="1" applyAlignment="1">
      <alignment horizontal="right" vertical="center" wrapText="1"/>
    </xf>
    <xf numFmtId="0" fontId="21" fillId="0" borderId="8" xfId="0" applyFont="1" applyBorder="1" applyAlignment="1">
      <alignment horizontal="left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left" vertical="center" wrapText="1"/>
    </xf>
    <xf numFmtId="3" fontId="8" fillId="6" borderId="7" xfId="0" applyNumberFormat="1" applyFont="1" applyFill="1" applyBorder="1" applyAlignment="1">
      <alignment horizontal="right" vertical="center" wrapText="1"/>
    </xf>
    <xf numFmtId="3" fontId="8" fillId="6" borderId="3" xfId="0" applyNumberFormat="1" applyFont="1" applyFill="1" applyBorder="1" applyAlignment="1">
      <alignment horizontal="right" vertical="center" wrapText="1"/>
    </xf>
    <xf numFmtId="0" fontId="19" fillId="0" borderId="7" xfId="0" applyFont="1" applyBorder="1" applyAlignment="1">
      <alignment horizontal="right" vertical="center" wrapText="1"/>
    </xf>
    <xf numFmtId="0" fontId="19" fillId="0" borderId="3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justify" vertical="center" wrapText="1"/>
    </xf>
    <xf numFmtId="0" fontId="19" fillId="0" borderId="8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164" fontId="1" fillId="6" borderId="10" xfId="0" applyNumberFormat="1" applyFont="1" applyFill="1" applyBorder="1" applyAlignment="1">
      <alignment horizontal="right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8" fillId="6" borderId="6" xfId="0" applyFont="1" applyFill="1" applyBorder="1" applyAlignment="1">
      <alignment horizontal="right" vertical="center" wrapText="1"/>
    </xf>
    <xf numFmtId="164" fontId="2" fillId="6" borderId="1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19" fillId="0" borderId="3" xfId="0" applyNumberFormat="1" applyFont="1" applyBorder="1" applyAlignment="1">
      <alignment horizontal="right" vertical="center" wrapText="1"/>
    </xf>
    <xf numFmtId="3" fontId="19" fillId="0" borderId="4" xfId="0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horizontal="right" vertical="center" wrapText="1"/>
    </xf>
    <xf numFmtId="3" fontId="38" fillId="6" borderId="0" xfId="0" applyNumberFormat="1" applyFont="1" applyFill="1" applyBorder="1" applyAlignment="1">
      <alignment horizontal="right" vertical="center" wrapText="1"/>
    </xf>
    <xf numFmtId="0" fontId="38" fillId="0" borderId="0" xfId="0" applyFont="1" applyBorder="1" applyAlignment="1">
      <alignment horizontal="right" vertical="center" wrapText="1"/>
    </xf>
    <xf numFmtId="3" fontId="39" fillId="6" borderId="0" xfId="0" applyNumberFormat="1" applyFont="1" applyFill="1" applyBorder="1" applyAlignment="1">
      <alignment horizontal="right" vertical="center" wrapText="1"/>
    </xf>
    <xf numFmtId="0" fontId="39" fillId="6" borderId="0" xfId="0" applyFont="1" applyFill="1" applyBorder="1" applyAlignment="1">
      <alignment horizontal="right" vertical="center" wrapText="1"/>
    </xf>
    <xf numFmtId="0" fontId="37" fillId="6" borderId="0" xfId="0" applyFont="1" applyFill="1" applyBorder="1"/>
    <xf numFmtId="0" fontId="38" fillId="6" borderId="0" xfId="0" applyFont="1" applyFill="1" applyBorder="1" applyAlignment="1">
      <alignment horizontal="right" vertical="center" wrapText="1"/>
    </xf>
    <xf numFmtId="0" fontId="38" fillId="0" borderId="0" xfId="0" applyFont="1" applyBorder="1" applyAlignment="1">
      <alignment horizontal="right" vertical="center"/>
    </xf>
    <xf numFmtId="4" fontId="9" fillId="6" borderId="0" xfId="0" applyNumberFormat="1" applyFont="1" applyFill="1" applyBorder="1" applyAlignment="1">
      <alignment horizontal="right" vertical="center" wrapText="1"/>
    </xf>
    <xf numFmtId="4" fontId="9" fillId="6" borderId="6" xfId="0" applyNumberFormat="1" applyFont="1" applyFill="1" applyBorder="1" applyAlignment="1">
      <alignment horizontal="right" vertical="center" wrapText="1"/>
    </xf>
    <xf numFmtId="3" fontId="21" fillId="6" borderId="0" xfId="0" applyNumberFormat="1" applyFont="1" applyFill="1" applyBorder="1" applyAlignment="1">
      <alignment vertical="center"/>
    </xf>
    <xf numFmtId="3" fontId="0" fillId="3" borderId="0" xfId="0" applyNumberFormat="1" applyFill="1"/>
    <xf numFmtId="3" fontId="31" fillId="6" borderId="8" xfId="0" applyNumberFormat="1" applyFont="1" applyFill="1" applyBorder="1" applyAlignment="1">
      <alignment horizontal="right" vertical="center" wrapText="1"/>
    </xf>
    <xf numFmtId="3" fontId="40" fillId="6" borderId="8" xfId="0" applyNumberFormat="1" applyFont="1" applyFill="1" applyBorder="1" applyAlignment="1">
      <alignment horizontal="right" vertical="center" wrapText="1"/>
    </xf>
    <xf numFmtId="0" fontId="40" fillId="0" borderId="8" xfId="0" applyFont="1" applyBorder="1" applyAlignment="1">
      <alignment horizontal="right" vertical="center" wrapText="1"/>
    </xf>
    <xf numFmtId="3" fontId="41" fillId="6" borderId="8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0" fillId="0" borderId="8" xfId="0" applyFill="1" applyBorder="1"/>
    <xf numFmtId="0" fontId="0" fillId="0" borderId="13" xfId="0" applyFill="1" applyBorder="1"/>
    <xf numFmtId="165" fontId="0" fillId="0" borderId="6" xfId="0" applyNumberFormat="1" applyFill="1" applyBorder="1"/>
    <xf numFmtId="0" fontId="35" fillId="2" borderId="0" xfId="0" applyFont="1" applyFill="1" applyBorder="1" applyAlignment="1">
      <alignment horizontal="right"/>
    </xf>
    <xf numFmtId="49" fontId="14" fillId="5" borderId="0" xfId="0" applyNumberFormat="1" applyFont="1" applyFill="1" applyBorder="1"/>
    <xf numFmtId="0" fontId="0" fillId="2" borderId="6" xfId="0" applyFill="1" applyBorder="1"/>
    <xf numFmtId="0" fontId="13" fillId="5" borderId="10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14" fontId="1" fillId="0" borderId="0" xfId="0" applyNumberFormat="1" applyFont="1" applyFill="1" applyBorder="1" applyAlignment="1">
      <alignment horizontal="right" vertical="center" wrapText="1"/>
    </xf>
    <xf numFmtId="14" fontId="1" fillId="0" borderId="4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19" fillId="6" borderId="0" xfId="0" applyNumberFormat="1" applyFont="1" applyFill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3" fontId="31" fillId="6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6" borderId="1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/>
    <xf numFmtId="4" fontId="9" fillId="0" borderId="0" xfId="0" applyNumberFormat="1" applyFont="1" applyBorder="1" applyAlignment="1">
      <alignment horizontal="right" vertical="center" wrapText="1"/>
    </xf>
    <xf numFmtId="4" fontId="21" fillId="0" borderId="0" xfId="0" applyNumberFormat="1" applyFont="1" applyFill="1" applyBorder="1" applyAlignment="1">
      <alignment horizontal="right" vertical="center" wrapText="1"/>
    </xf>
    <xf numFmtId="4" fontId="21" fillId="6" borderId="0" xfId="0" applyNumberFormat="1" applyFont="1" applyFill="1" applyBorder="1" applyAlignment="1">
      <alignment vertical="center"/>
    </xf>
    <xf numFmtId="4" fontId="21" fillId="0" borderId="0" xfId="0" applyNumberFormat="1" applyFont="1" applyBorder="1" applyAlignment="1">
      <alignment horizontal="right" vertical="center" wrapText="1"/>
    </xf>
    <xf numFmtId="4" fontId="21" fillId="0" borderId="0" xfId="0" applyNumberFormat="1" applyFont="1" applyFill="1" applyBorder="1"/>
    <xf numFmtId="4" fontId="21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/>
    <xf numFmtId="3" fontId="21" fillId="6" borderId="0" xfId="0" applyNumberFormat="1" applyFont="1" applyFill="1" applyBorder="1"/>
    <xf numFmtId="3" fontId="2" fillId="0" borderId="0" xfId="0" applyNumberFormat="1" applyFont="1" applyFill="1" applyBorder="1" applyAlignment="1">
      <alignment vertical="center" wrapText="1"/>
    </xf>
    <xf numFmtId="164" fontId="0" fillId="3" borderId="0" xfId="0" applyNumberFormat="1" applyFill="1" applyBorder="1"/>
    <xf numFmtId="0" fontId="41" fillId="6" borderId="8" xfId="0" applyFont="1" applyFill="1" applyBorder="1" applyAlignment="1">
      <alignment horizontal="right" vertical="center" wrapText="1"/>
    </xf>
    <xf numFmtId="3" fontId="41" fillId="6" borderId="0" xfId="0" applyNumberFormat="1" applyFont="1" applyFill="1" applyBorder="1" applyAlignment="1">
      <alignment horizontal="right" vertical="center" wrapText="1"/>
    </xf>
    <xf numFmtId="0" fontId="41" fillId="6" borderId="0" xfId="0" applyFont="1" applyFill="1" applyBorder="1" applyAlignment="1">
      <alignment horizontal="right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vertical="center"/>
    </xf>
    <xf numFmtId="0" fontId="44" fillId="6" borderId="8" xfId="0" applyFont="1" applyFill="1" applyBorder="1" applyAlignment="1">
      <alignment horizontal="right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3" fontId="8" fillId="6" borderId="22" xfId="0" applyNumberFormat="1" applyFont="1" applyFill="1" applyBorder="1" applyAlignment="1">
      <alignment horizontal="right" vertical="center" wrapText="1"/>
    </xf>
    <xf numFmtId="3" fontId="8" fillId="6" borderId="23" xfId="0" applyNumberFormat="1" applyFont="1" applyFill="1" applyBorder="1" applyAlignment="1">
      <alignment horizontal="right" vertical="center" wrapText="1"/>
    </xf>
    <xf numFmtId="3" fontId="8" fillId="6" borderId="16" xfId="0" applyNumberFormat="1" applyFont="1" applyFill="1" applyBorder="1" applyAlignment="1">
      <alignment horizontal="right" vertical="center" wrapText="1"/>
    </xf>
    <xf numFmtId="3" fontId="8" fillId="6" borderId="17" xfId="0" applyNumberFormat="1" applyFont="1" applyFill="1" applyBorder="1" applyAlignment="1">
      <alignment horizontal="right" vertical="center" wrapText="1"/>
    </xf>
    <xf numFmtId="3" fontId="8" fillId="6" borderId="24" xfId="0" applyNumberFormat="1" applyFont="1" applyFill="1" applyBorder="1" applyAlignment="1">
      <alignment horizontal="right" vertical="center" wrapText="1"/>
    </xf>
    <xf numFmtId="3" fontId="25" fillId="6" borderId="17" xfId="0" applyNumberFormat="1" applyFont="1" applyFill="1" applyBorder="1" applyAlignment="1">
      <alignment horizontal="right" vertical="center" wrapText="1"/>
    </xf>
    <xf numFmtId="3" fontId="8" fillId="6" borderId="18" xfId="0" applyNumberFormat="1" applyFont="1" applyFill="1" applyBorder="1" applyAlignment="1">
      <alignment horizontal="right" vertical="center" wrapText="1"/>
    </xf>
    <xf numFmtId="3" fontId="8" fillId="6" borderId="25" xfId="0" applyNumberFormat="1" applyFont="1" applyFill="1" applyBorder="1" applyAlignment="1">
      <alignment horizontal="right" vertical="center" wrapText="1"/>
    </xf>
    <xf numFmtId="3" fontId="21" fillId="6" borderId="17" xfId="0" applyNumberFormat="1" applyFont="1" applyFill="1" applyBorder="1" applyAlignment="1">
      <alignment vertical="center"/>
    </xf>
    <xf numFmtId="3" fontId="9" fillId="6" borderId="17" xfId="0" applyNumberFormat="1" applyFont="1" applyFill="1" applyBorder="1" applyAlignment="1">
      <alignment horizontal="right" vertical="center" wrapText="1"/>
    </xf>
    <xf numFmtId="3" fontId="9" fillId="6" borderId="18" xfId="0" applyNumberFormat="1" applyFont="1" applyFill="1" applyBorder="1" applyAlignment="1">
      <alignment horizontal="right" vertical="center" wrapText="1"/>
    </xf>
    <xf numFmtId="3" fontId="25" fillId="6" borderId="22" xfId="0" applyNumberFormat="1" applyFont="1" applyFill="1" applyBorder="1" applyAlignment="1">
      <alignment horizontal="right" vertical="center" wrapText="1"/>
    </xf>
    <xf numFmtId="3" fontId="9" fillId="6" borderId="16" xfId="0" applyNumberFormat="1" applyFont="1" applyFill="1" applyBorder="1" applyAlignment="1">
      <alignment horizontal="right" vertical="center" wrapText="1"/>
    </xf>
    <xf numFmtId="3" fontId="21" fillId="6" borderId="17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/>
    </xf>
    <xf numFmtId="0" fontId="13" fillId="5" borderId="19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164" fontId="20" fillId="0" borderId="26" xfId="0" applyNumberFormat="1" applyFont="1" applyFill="1" applyBorder="1" applyAlignment="1">
      <alignment horizontal="right" vertical="center" wrapText="1"/>
    </xf>
    <xf numFmtId="0" fontId="0" fillId="0" borderId="27" xfId="0" applyFill="1" applyBorder="1" applyAlignment="1">
      <alignment horizontal="center"/>
    </xf>
    <xf numFmtId="3" fontId="9" fillId="6" borderId="26" xfId="0" applyNumberFormat="1" applyFont="1" applyFill="1" applyBorder="1" applyAlignment="1">
      <alignment horizontal="right" vertical="center" wrapText="1"/>
    </xf>
    <xf numFmtId="3" fontId="9" fillId="6" borderId="27" xfId="0" applyNumberFormat="1" applyFont="1" applyFill="1" applyBorder="1" applyAlignment="1">
      <alignment horizontal="right" vertical="center" wrapText="1"/>
    </xf>
    <xf numFmtId="3" fontId="2" fillId="0" borderId="26" xfId="0" applyNumberFormat="1" applyFont="1" applyFill="1" applyBorder="1" applyAlignment="1">
      <alignment horizontal="right" vertical="center" wrapText="1"/>
    </xf>
    <xf numFmtId="3" fontId="9" fillId="0" borderId="27" xfId="0" applyNumberFormat="1" applyFont="1" applyFill="1" applyBorder="1" applyAlignment="1">
      <alignment vertical="center"/>
    </xf>
    <xf numFmtId="3" fontId="9" fillId="0" borderId="26" xfId="0" applyNumberFormat="1" applyFont="1" applyFill="1" applyBorder="1" applyAlignment="1">
      <alignment horizontal="right" vertical="center" wrapText="1"/>
    </xf>
    <xf numFmtId="3" fontId="0" fillId="0" borderId="27" xfId="0" applyNumberFormat="1" applyFill="1" applyBorder="1"/>
    <xf numFmtId="3" fontId="19" fillId="6" borderId="26" xfId="0" applyNumberFormat="1" applyFont="1" applyFill="1" applyBorder="1" applyAlignment="1">
      <alignment horizontal="right" vertical="center" wrapText="1"/>
    </xf>
    <xf numFmtId="3" fontId="8" fillId="0" borderId="26" xfId="0" applyNumberFormat="1" applyFont="1" applyFill="1" applyBorder="1" applyAlignment="1">
      <alignment horizontal="right" vertical="center" wrapText="1"/>
    </xf>
    <xf numFmtId="3" fontId="9" fillId="0" borderId="27" xfId="0" applyNumberFormat="1" applyFont="1" applyBorder="1" applyAlignment="1">
      <alignment vertical="center"/>
    </xf>
    <xf numFmtId="3" fontId="21" fillId="6" borderId="26" xfId="0" applyNumberFormat="1" applyFont="1" applyFill="1" applyBorder="1" applyAlignment="1">
      <alignment horizontal="right" vertical="center" wrapText="1"/>
    </xf>
    <xf numFmtId="3" fontId="21" fillId="6" borderId="27" xfId="0" applyNumberFormat="1" applyFont="1" applyFill="1" applyBorder="1" applyAlignment="1">
      <alignment vertical="center"/>
    </xf>
    <xf numFmtId="3" fontId="9" fillId="0" borderId="26" xfId="0" applyNumberFormat="1" applyFont="1" applyFill="1" applyBorder="1"/>
    <xf numFmtId="4" fontId="9" fillId="6" borderId="26" xfId="0" applyNumberFormat="1" applyFont="1" applyFill="1" applyBorder="1" applyAlignment="1">
      <alignment horizontal="right" vertical="center" wrapText="1"/>
    </xf>
    <xf numFmtId="4" fontId="21" fillId="6" borderId="27" xfId="0" applyNumberFormat="1" applyFont="1" applyFill="1" applyBorder="1" applyAlignment="1">
      <alignment vertical="center"/>
    </xf>
    <xf numFmtId="4" fontId="9" fillId="0" borderId="26" xfId="0" applyNumberFormat="1" applyFont="1" applyFill="1" applyBorder="1" applyAlignment="1">
      <alignment horizontal="right" vertical="center" wrapText="1"/>
    </xf>
    <xf numFmtId="4" fontId="21" fillId="0" borderId="27" xfId="0" applyNumberFormat="1" applyFont="1" applyFill="1" applyBorder="1" applyAlignment="1">
      <alignment vertical="center"/>
    </xf>
    <xf numFmtId="4" fontId="9" fillId="6" borderId="25" xfId="0" applyNumberFormat="1" applyFont="1" applyFill="1" applyBorder="1" applyAlignment="1">
      <alignment horizontal="right" vertical="center" wrapText="1"/>
    </xf>
    <xf numFmtId="4" fontId="21" fillId="6" borderId="22" xfId="0" applyNumberFormat="1" applyFont="1" applyFill="1" applyBorder="1" applyAlignment="1">
      <alignment horizontal="right" vertical="center" wrapText="1"/>
    </xf>
    <xf numFmtId="4" fontId="21" fillId="6" borderId="22" xfId="0" applyNumberFormat="1" applyFont="1" applyFill="1" applyBorder="1" applyAlignment="1">
      <alignment vertical="center"/>
    </xf>
    <xf numFmtId="4" fontId="21" fillId="6" borderId="23" xfId="0" applyNumberFormat="1" applyFont="1" applyFill="1" applyBorder="1" applyAlignment="1">
      <alignment vertical="center"/>
    </xf>
    <xf numFmtId="3" fontId="1" fillId="6" borderId="16" xfId="0" applyNumberFormat="1" applyFont="1" applyFill="1" applyBorder="1" applyAlignment="1">
      <alignment horizontal="right" vertical="center" wrapText="1"/>
    </xf>
    <xf numFmtId="3" fontId="1" fillId="6" borderId="17" xfId="0" applyNumberFormat="1" applyFont="1" applyFill="1" applyBorder="1" applyAlignment="1">
      <alignment horizontal="right" vertical="center" wrapText="1"/>
    </xf>
    <xf numFmtId="3" fontId="1" fillId="6" borderId="18" xfId="0" applyNumberFormat="1" applyFont="1" applyFill="1" applyBorder="1" applyAlignment="1">
      <alignment horizontal="right" vertical="center" wrapText="1"/>
    </xf>
    <xf numFmtId="0" fontId="13" fillId="5" borderId="28" xfId="0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right" vertical="center" wrapText="1"/>
    </xf>
    <xf numFmtId="3" fontId="9" fillId="6" borderId="29" xfId="0" applyNumberFormat="1" applyFont="1" applyFill="1" applyBorder="1" applyAlignment="1">
      <alignment horizontal="right" vertical="center" wrapText="1"/>
    </xf>
    <xf numFmtId="0" fontId="9" fillId="0" borderId="29" xfId="0" applyFont="1" applyBorder="1" applyAlignment="1">
      <alignment horizontal="right" vertical="center" wrapText="1"/>
    </xf>
    <xf numFmtId="3" fontId="19" fillId="6" borderId="29" xfId="0" applyNumberFormat="1" applyFont="1" applyFill="1" applyBorder="1" applyAlignment="1">
      <alignment horizontal="right" vertical="center" wrapText="1"/>
    </xf>
    <xf numFmtId="0" fontId="37" fillId="6" borderId="29" xfId="0" applyFont="1" applyFill="1" applyBorder="1"/>
    <xf numFmtId="3" fontId="39" fillId="6" borderId="29" xfId="0" applyNumberFormat="1" applyFont="1" applyFill="1" applyBorder="1" applyAlignment="1">
      <alignment horizontal="right" vertical="center" wrapText="1"/>
    </xf>
    <xf numFmtId="0" fontId="19" fillId="6" borderId="29" xfId="0" applyFont="1" applyFill="1" applyBorder="1" applyAlignment="1">
      <alignment horizontal="right" vertical="center" wrapText="1"/>
    </xf>
    <xf numFmtId="0" fontId="39" fillId="6" borderId="29" xfId="0" applyFont="1" applyFill="1" applyBorder="1" applyAlignment="1">
      <alignment horizontal="right" vertical="center" wrapText="1"/>
    </xf>
    <xf numFmtId="0" fontId="43" fillId="6" borderId="29" xfId="0" applyFont="1" applyFill="1" applyBorder="1" applyAlignment="1">
      <alignment horizontal="right" vertical="center" wrapText="1"/>
    </xf>
    <xf numFmtId="0" fontId="38" fillId="6" borderId="29" xfId="0" applyFont="1" applyFill="1" applyBorder="1" applyAlignment="1">
      <alignment horizontal="right" vertical="center" wrapText="1"/>
    </xf>
    <xf numFmtId="3" fontId="8" fillId="6" borderId="30" xfId="0" applyNumberFormat="1" applyFont="1" applyFill="1" applyBorder="1" applyAlignment="1">
      <alignment horizontal="right" vertical="center" wrapText="1"/>
    </xf>
    <xf numFmtId="0" fontId="9" fillId="0" borderId="29" xfId="0" applyFont="1" applyBorder="1" applyAlignment="1">
      <alignment horizontal="right" vertical="center"/>
    </xf>
    <xf numFmtId="0" fontId="9" fillId="6" borderId="29" xfId="0" applyFont="1" applyFill="1" applyBorder="1" applyAlignment="1">
      <alignment horizontal="right" vertical="center" wrapText="1"/>
    </xf>
    <xf numFmtId="3" fontId="3" fillId="6" borderId="29" xfId="0" applyNumberFormat="1" applyFont="1" applyFill="1" applyBorder="1" applyAlignment="1">
      <alignment vertical="center"/>
    </xf>
    <xf numFmtId="3" fontId="8" fillId="6" borderId="31" xfId="0" applyNumberFormat="1" applyFont="1" applyFill="1" applyBorder="1" applyAlignment="1">
      <alignment horizontal="right" vertical="center" wrapText="1"/>
    </xf>
    <xf numFmtId="3" fontId="9" fillId="6" borderId="30" xfId="0" applyNumberFormat="1" applyFont="1" applyFill="1" applyBorder="1" applyAlignment="1">
      <alignment horizontal="right" vertical="center" wrapText="1"/>
    </xf>
    <xf numFmtId="3" fontId="8" fillId="6" borderId="32" xfId="0" applyNumberFormat="1" applyFont="1" applyFill="1" applyBorder="1" applyAlignment="1">
      <alignment horizontal="right" vertical="center" wrapText="1"/>
    </xf>
    <xf numFmtId="0" fontId="42" fillId="4" borderId="15" xfId="0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13" fillId="5" borderId="2" xfId="0" applyFont="1" applyFill="1" applyBorder="1" applyAlignment="1">
      <alignment horizontal="left" vertical="center" wrapText="1"/>
    </xf>
    <xf numFmtId="0" fontId="15" fillId="5" borderId="13" xfId="0" applyFont="1" applyFill="1" applyBorder="1" applyAlignment="1">
      <alignment horizontal="left" vertical="center"/>
    </xf>
    <xf numFmtId="0" fontId="13" fillId="5" borderId="7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/>
    </xf>
    <xf numFmtId="0" fontId="13" fillId="5" borderId="16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32" fillId="3" borderId="0" xfId="0" applyFont="1" applyFill="1" applyAlignment="1">
      <alignment horizontal="center" wrapText="1"/>
    </xf>
    <xf numFmtId="0" fontId="14" fillId="4" borderId="0" xfId="0" applyFont="1" applyFill="1" applyAlignment="1">
      <alignment horizontal="center" vertical="center"/>
    </xf>
    <xf numFmtId="0" fontId="13" fillId="5" borderId="7" xfId="0" applyFont="1" applyFill="1" applyBorder="1" applyAlignment="1">
      <alignment horizontal="left" vertical="center" wrapText="1"/>
    </xf>
    <xf numFmtId="0" fontId="13" fillId="5" borderId="8" xfId="0" applyFont="1" applyFill="1" applyBorder="1" applyAlignment="1">
      <alignment horizontal="left" vertical="center" wrapText="1"/>
    </xf>
    <xf numFmtId="0" fontId="36" fillId="5" borderId="4" xfId="0" applyFont="1" applyFill="1" applyBorder="1"/>
    <xf numFmtId="0" fontId="34" fillId="2" borderId="0" xfId="0" applyFont="1" applyFill="1" applyAlignment="1">
      <alignment horizontal="center" wrapText="1"/>
    </xf>
    <xf numFmtId="0" fontId="30" fillId="2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94831089662182E-2"/>
          <c:y val="4.0336223254656467E-2"/>
          <c:w val="0.88870248073829505"/>
          <c:h val="0.86500589207260059"/>
        </c:manualLayout>
      </c:layout>
      <c:lineChart>
        <c:grouping val="standard"/>
        <c:varyColors val="0"/>
        <c:ser>
          <c:idx val="2"/>
          <c:order val="0"/>
          <c:tx>
            <c:strRef>
              <c:f>zamówienia!$B$10</c:f>
              <c:strCache>
                <c:ptCount val="1"/>
                <c:pt idx="0">
                  <c:v>FY 2021/22</c:v>
                </c:pt>
              </c:strCache>
            </c:strRef>
          </c:tx>
          <c:dLbls>
            <c:dLbl>
              <c:idx val="0"/>
              <c:layout>
                <c:manualLayout>
                  <c:x val="-4.3484569469138937E-2"/>
                  <c:y val="-6.107535814469247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6DD-4348-9D91-BA854EFE053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zamówienia!$C$9:$N$9</c:f>
              <c:strCache>
                <c:ptCount val="12"/>
                <c:pt idx="0">
                  <c:v>kwiecień</c:v>
                </c:pt>
                <c:pt idx="1">
                  <c:v>maj</c:v>
                </c:pt>
                <c:pt idx="2">
                  <c:v>czerwiec</c:v>
                </c:pt>
                <c:pt idx="3">
                  <c:v>lipiec</c:v>
                </c:pt>
                <c:pt idx="4">
                  <c:v>sierpień</c:v>
                </c:pt>
                <c:pt idx="5">
                  <c:v>wrzesień</c:v>
                </c:pt>
                <c:pt idx="6">
                  <c:v>październik</c:v>
                </c:pt>
                <c:pt idx="7">
                  <c:v>listopad</c:v>
                </c:pt>
                <c:pt idx="8">
                  <c:v>grudzień</c:v>
                </c:pt>
                <c:pt idx="9">
                  <c:v>styczeń</c:v>
                </c:pt>
                <c:pt idx="10">
                  <c:v>luty</c:v>
                </c:pt>
                <c:pt idx="11">
                  <c:v>marzec</c:v>
                </c:pt>
              </c:strCache>
            </c:strRef>
          </c:cat>
          <c:val>
            <c:numRef>
              <c:f>zamówienia!$C$10:$N$10</c:f>
              <c:numCache>
                <c:formatCode>General</c:formatCode>
                <c:ptCount val="12"/>
                <c:pt idx="0">
                  <c:v>41.4</c:v>
                </c:pt>
                <c:pt idx="1">
                  <c:v>50.4</c:v>
                </c:pt>
                <c:pt idx="2">
                  <c:v>52.4</c:v>
                </c:pt>
                <c:pt idx="3" formatCode="0.00">
                  <c:v>42</c:v>
                </c:pt>
                <c:pt idx="4">
                  <c:v>37.4</c:v>
                </c:pt>
                <c:pt idx="5">
                  <c:v>39.9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05B-49E5-8D7D-71401A89B154}"/>
            </c:ext>
          </c:extLst>
        </c:ser>
        <c:ser>
          <c:idx val="0"/>
          <c:order val="1"/>
          <c:tx>
            <c:strRef>
              <c:f>zamówienia!$B$11</c:f>
              <c:strCache>
                <c:ptCount val="1"/>
                <c:pt idx="0">
                  <c:v>FY 2020/21</c:v>
                </c:pt>
              </c:strCache>
            </c:strRef>
          </c:tx>
          <c:dPt>
            <c:idx val="1"/>
            <c:bubble3D val="0"/>
            <c:spPr>
              <a:ln>
                <a:solidFill>
                  <a:schemeClr val="accent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263-4C7D-BB90-6356B186E167}"/>
              </c:ext>
            </c:extLst>
          </c:dPt>
          <c:dLbls>
            <c:dLbl>
              <c:idx val="4"/>
              <c:layout>
                <c:manualLayout>
                  <c:x val="-2.4692256555720646E-2"/>
                  <c:y val="1.42265190842767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CD8-4AC4-93C5-56EAF2EBBEBA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8728583498202988E-2"/>
                  <c:y val="-2.64415907132152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CD8-4AC4-93C5-56EAF2EBBEB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zamówienia!$C$9:$N$9</c:f>
              <c:strCache>
                <c:ptCount val="12"/>
                <c:pt idx="0">
                  <c:v>kwiecień</c:v>
                </c:pt>
                <c:pt idx="1">
                  <c:v>maj</c:v>
                </c:pt>
                <c:pt idx="2">
                  <c:v>czerwiec</c:v>
                </c:pt>
                <c:pt idx="3">
                  <c:v>lipiec</c:v>
                </c:pt>
                <c:pt idx="4">
                  <c:v>sierpień</c:v>
                </c:pt>
                <c:pt idx="5">
                  <c:v>wrzesień</c:v>
                </c:pt>
                <c:pt idx="6">
                  <c:v>październik</c:v>
                </c:pt>
                <c:pt idx="7">
                  <c:v>listopad</c:v>
                </c:pt>
                <c:pt idx="8">
                  <c:v>grudzień</c:v>
                </c:pt>
                <c:pt idx="9">
                  <c:v>styczeń</c:v>
                </c:pt>
                <c:pt idx="10">
                  <c:v>luty</c:v>
                </c:pt>
                <c:pt idx="11">
                  <c:v>marzec</c:v>
                </c:pt>
              </c:strCache>
            </c:strRef>
          </c:cat>
          <c:val>
            <c:numRef>
              <c:f>zamówienia!$C$11:$N$11</c:f>
              <c:numCache>
                <c:formatCode>General</c:formatCode>
                <c:ptCount val="12"/>
                <c:pt idx="0">
                  <c:v>27.7</c:v>
                </c:pt>
                <c:pt idx="1">
                  <c:v>31.9</c:v>
                </c:pt>
                <c:pt idx="2">
                  <c:v>30.4</c:v>
                </c:pt>
                <c:pt idx="3">
                  <c:v>36.799999999999997</c:v>
                </c:pt>
                <c:pt idx="4">
                  <c:v>35.700000000000003</c:v>
                </c:pt>
                <c:pt idx="5">
                  <c:v>38.299999999999997</c:v>
                </c:pt>
                <c:pt idx="6">
                  <c:v>31.9</c:v>
                </c:pt>
                <c:pt idx="7">
                  <c:v>29.3</c:v>
                </c:pt>
                <c:pt idx="8">
                  <c:v>47.6</c:v>
                </c:pt>
                <c:pt idx="9">
                  <c:v>26.5</c:v>
                </c:pt>
                <c:pt idx="10">
                  <c:v>31.8</c:v>
                </c:pt>
                <c:pt idx="11">
                  <c:v>50.5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263-4C7D-BB90-6356B186E167}"/>
            </c:ext>
          </c:extLst>
        </c:ser>
        <c:ser>
          <c:idx val="1"/>
          <c:order val="2"/>
          <c:tx>
            <c:strRef>
              <c:f>zamówienia!$B$12</c:f>
              <c:strCache>
                <c:ptCount val="1"/>
                <c:pt idx="0">
                  <c:v>FY 2019/20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zamówienia!$C$9:$N$9</c:f>
              <c:strCache>
                <c:ptCount val="12"/>
                <c:pt idx="0">
                  <c:v>kwiecień</c:v>
                </c:pt>
                <c:pt idx="1">
                  <c:v>maj</c:v>
                </c:pt>
                <c:pt idx="2">
                  <c:v>czerwiec</c:v>
                </c:pt>
                <c:pt idx="3">
                  <c:v>lipiec</c:v>
                </c:pt>
                <c:pt idx="4">
                  <c:v>sierpień</c:v>
                </c:pt>
                <c:pt idx="5">
                  <c:v>wrzesień</c:v>
                </c:pt>
                <c:pt idx="6">
                  <c:v>październik</c:v>
                </c:pt>
                <c:pt idx="7">
                  <c:v>listopad</c:v>
                </c:pt>
                <c:pt idx="8">
                  <c:v>grudzień</c:v>
                </c:pt>
                <c:pt idx="9">
                  <c:v>styczeń</c:v>
                </c:pt>
                <c:pt idx="10">
                  <c:v>luty</c:v>
                </c:pt>
                <c:pt idx="11">
                  <c:v>marzec</c:v>
                </c:pt>
              </c:strCache>
            </c:strRef>
          </c:cat>
          <c:val>
            <c:numRef>
              <c:f>zamówienia!$C$12:$N$12</c:f>
              <c:numCache>
                <c:formatCode>General</c:formatCode>
                <c:ptCount val="12"/>
                <c:pt idx="0">
                  <c:v>43.3</c:v>
                </c:pt>
                <c:pt idx="1">
                  <c:v>30.9</c:v>
                </c:pt>
                <c:pt idx="2">
                  <c:v>35.9</c:v>
                </c:pt>
                <c:pt idx="3">
                  <c:v>38.799999999999997</c:v>
                </c:pt>
                <c:pt idx="4">
                  <c:v>26.5</c:v>
                </c:pt>
                <c:pt idx="5">
                  <c:v>34.700000000000003</c:v>
                </c:pt>
                <c:pt idx="6" formatCode="0.0">
                  <c:v>42.6</c:v>
                </c:pt>
                <c:pt idx="7">
                  <c:v>26.9</c:v>
                </c:pt>
                <c:pt idx="8">
                  <c:v>24.9</c:v>
                </c:pt>
                <c:pt idx="9">
                  <c:v>30.6</c:v>
                </c:pt>
                <c:pt idx="10" formatCode="0.0">
                  <c:v>28</c:v>
                </c:pt>
                <c:pt idx="11">
                  <c:v>41.6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263-4C7D-BB90-6356B186E16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0547400"/>
        <c:axId val="390548576"/>
      </c:lineChart>
      <c:catAx>
        <c:axId val="390547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0548576"/>
        <c:crosses val="autoZero"/>
        <c:auto val="1"/>
        <c:lblAlgn val="ctr"/>
        <c:lblOffset val="100"/>
        <c:noMultiLvlLbl val="0"/>
      </c:catAx>
      <c:valAx>
        <c:axId val="390548576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390547400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174558337158532"/>
          <c:y val="0.55654574185978689"/>
          <c:w val="0.10216408432816868"/>
          <c:h val="0.15758526579285889"/>
        </c:manualLayout>
      </c:layout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918291</xdr:colOff>
      <xdr:row>1</xdr:row>
      <xdr:rowOff>173935</xdr:rowOff>
    </xdr:from>
    <xdr:to>
      <xdr:col>0</xdr:col>
      <xdr:colOff>4042742</xdr:colOff>
      <xdr:row>1</xdr:row>
      <xdr:rowOff>1051892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91" y="356152"/>
          <a:ext cx="3124451" cy="877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</xdr:colOff>
      <xdr:row>0</xdr:row>
      <xdr:rowOff>15875</xdr:rowOff>
    </xdr:from>
    <xdr:to>
      <xdr:col>1</xdr:col>
      <xdr:colOff>2389186</xdr:colOff>
      <xdr:row>1</xdr:row>
      <xdr:rowOff>1588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15875"/>
          <a:ext cx="2381249" cy="722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2381249</xdr:colOff>
      <xdr:row>1</xdr:row>
      <xdr:rowOff>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875" y="0"/>
          <a:ext cx="2381249" cy="722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</xdr:col>
      <xdr:colOff>2400299</xdr:colOff>
      <xdr:row>0</xdr:row>
      <xdr:rowOff>741363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" y="19050"/>
          <a:ext cx="2381249" cy="722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95250</xdr:rowOff>
    </xdr:from>
    <xdr:to>
      <xdr:col>2</xdr:col>
      <xdr:colOff>0</xdr:colOff>
      <xdr:row>1</xdr:row>
      <xdr:rowOff>142875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50"/>
          <a:ext cx="29622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38100</xdr:colOff>
      <xdr:row>15</xdr:row>
      <xdr:rowOff>66674</xdr:rowOff>
    </xdr:from>
    <xdr:to>
      <xdr:col>13</xdr:col>
      <xdr:colOff>647700</xdr:colOff>
      <xdr:row>39</xdr:row>
      <xdr:rowOff>95250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7"/>
  <sheetViews>
    <sheetView topLeftCell="A2" zoomScale="115" zoomScaleNormal="115" workbookViewId="0">
      <selection activeCell="E9" sqref="E9"/>
    </sheetView>
  </sheetViews>
  <sheetFormatPr defaultColWidth="9" defaultRowHeight="14.25"/>
  <cols>
    <col min="1" max="1" width="71.875" style="10" customWidth="1"/>
    <col min="2" max="16384" width="9" style="10"/>
  </cols>
  <sheetData>
    <row r="1" spans="1:1">
      <c r="A1" s="7"/>
    </row>
    <row r="2" spans="1:1" ht="86.25" customHeight="1">
      <c r="A2" s="25"/>
    </row>
    <row r="3" spans="1:1" ht="22.5">
      <c r="A3" s="8"/>
    </row>
    <row r="4" spans="1:1" ht="30">
      <c r="A4" s="9" t="s">
        <v>127</v>
      </c>
    </row>
    <row r="5" spans="1:1">
      <c r="A5" s="7"/>
    </row>
    <row r="6" spans="1:1">
      <c r="A6" s="7"/>
    </row>
    <row r="7" spans="1:1">
      <c r="A7" s="7"/>
    </row>
    <row r="8" spans="1:1">
      <c r="A8" s="7"/>
    </row>
    <row r="9" spans="1:1" ht="15">
      <c r="A9" s="26" t="s">
        <v>12</v>
      </c>
    </row>
    <row r="10" spans="1:1">
      <c r="A10" s="7"/>
    </row>
    <row r="11" spans="1:1">
      <c r="A11" s="7"/>
    </row>
    <row r="12" spans="1:1">
      <c r="A12" s="7"/>
    </row>
    <row r="16" spans="1:1" ht="13.5" customHeight="1"/>
    <row r="17" ht="13.5" customHeight="1"/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zoomScaleNormal="100" workbookViewId="0">
      <pane xSplit="2" ySplit="6" topLeftCell="J7" activePane="bottomRight" state="frozen"/>
      <selection pane="topRight" activeCell="C1" sqref="C1"/>
      <selection pane="bottomLeft" activeCell="A5" sqref="A5"/>
      <selection pane="bottomRight" activeCell="J19" sqref="J19"/>
    </sheetView>
  </sheetViews>
  <sheetFormatPr defaultColWidth="9" defaultRowHeight="14.25"/>
  <cols>
    <col min="1" max="1" width="3.125" style="10" customWidth="1"/>
    <col min="2" max="2" width="31.5" style="10" customWidth="1"/>
    <col min="3" max="3" width="9.125" style="10" bestFit="1" customWidth="1"/>
    <col min="4" max="5" width="9.375" style="10" bestFit="1" customWidth="1"/>
    <col min="6" max="7" width="11.375" style="10" customWidth="1"/>
    <col min="8" max="8" width="12.625" style="10" customWidth="1"/>
    <col min="9" max="9" width="13.375" style="10" customWidth="1"/>
    <col min="10" max="10" width="13.625" style="10" customWidth="1"/>
    <col min="11" max="11" width="12.375" style="10" customWidth="1"/>
    <col min="12" max="12" width="11.875" style="10" customWidth="1"/>
    <col min="13" max="13" width="13.625" style="10" customWidth="1"/>
    <col min="14" max="14" width="12.125" style="10" customWidth="1"/>
    <col min="15" max="15" width="11.875" style="10" customWidth="1"/>
    <col min="16" max="17" width="12.625" style="10" customWidth="1"/>
    <col min="18" max="18" width="13.875" style="10" customWidth="1"/>
    <col min="19" max="16384" width="9" style="10"/>
  </cols>
  <sheetData>
    <row r="1" spans="1:18" ht="58.5" customHeight="1">
      <c r="A1" s="7"/>
      <c r="B1" s="17"/>
      <c r="C1" s="18"/>
      <c r="D1" s="18"/>
      <c r="E1" s="18"/>
      <c r="F1" s="310" t="s">
        <v>1</v>
      </c>
      <c r="G1" s="310"/>
      <c r="H1" s="310"/>
      <c r="I1" s="310"/>
      <c r="J1" s="310"/>
      <c r="K1" s="18"/>
      <c r="L1" s="18"/>
      <c r="M1" s="18"/>
      <c r="N1" s="18"/>
      <c r="O1" s="18"/>
      <c r="P1" s="18"/>
      <c r="Q1" s="18"/>
      <c r="R1" s="18"/>
    </row>
    <row r="2" spans="1:18">
      <c r="A2" s="7"/>
      <c r="B2" s="11"/>
      <c r="C2" s="35"/>
      <c r="D2" s="51"/>
      <c r="E2" s="51"/>
      <c r="F2" s="51"/>
      <c r="G2" s="51"/>
      <c r="H2" s="51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>
      <c r="A3" s="7"/>
      <c r="B3" s="11"/>
      <c r="C3" s="7"/>
      <c r="D3" s="7"/>
      <c r="E3" s="71"/>
      <c r="F3" s="73" t="s">
        <v>12</v>
      </c>
      <c r="G3" s="73"/>
      <c r="H3" s="72"/>
      <c r="I3" s="72"/>
      <c r="J3" s="72"/>
      <c r="K3" s="72"/>
      <c r="L3" s="72"/>
      <c r="M3" s="7"/>
      <c r="N3" s="7"/>
      <c r="O3" s="7"/>
      <c r="P3" s="7"/>
      <c r="Q3" s="7"/>
      <c r="R3" s="7"/>
    </row>
    <row r="4" spans="1:18" ht="15" thickBot="1">
      <c r="A4" s="7"/>
      <c r="B4" s="3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24.95" customHeight="1" thickBot="1">
      <c r="A5" s="7"/>
      <c r="B5" s="306" t="s">
        <v>6</v>
      </c>
      <c r="C5" s="308" t="s">
        <v>5</v>
      </c>
      <c r="D5" s="309"/>
      <c r="E5" s="309"/>
      <c r="F5" s="309"/>
      <c r="G5" s="309"/>
      <c r="H5" s="309"/>
      <c r="I5" s="311" t="s">
        <v>93</v>
      </c>
      <c r="J5" s="312"/>
      <c r="K5" s="312"/>
      <c r="L5" s="312"/>
      <c r="M5" s="312"/>
      <c r="N5" s="312"/>
      <c r="O5" s="312"/>
      <c r="P5" s="312"/>
      <c r="Q5" s="312"/>
      <c r="R5" s="313"/>
    </row>
    <row r="6" spans="1:18" ht="24.95" customHeight="1" thickBot="1">
      <c r="A6" s="7"/>
      <c r="B6" s="307"/>
      <c r="C6" s="159" t="s">
        <v>9</v>
      </c>
      <c r="D6" s="160" t="s">
        <v>8</v>
      </c>
      <c r="E6" s="160" t="s">
        <v>7</v>
      </c>
      <c r="F6" s="160" t="s">
        <v>129</v>
      </c>
      <c r="G6" s="208" t="s">
        <v>128</v>
      </c>
      <c r="H6" s="237" t="s">
        <v>161</v>
      </c>
      <c r="I6" s="240" t="s">
        <v>166</v>
      </c>
      <c r="J6" s="241" t="s">
        <v>135</v>
      </c>
      <c r="K6" s="241" t="s">
        <v>134</v>
      </c>
      <c r="L6" s="241" t="s">
        <v>133</v>
      </c>
      <c r="M6" s="241" t="s">
        <v>132</v>
      </c>
      <c r="N6" s="241" t="s">
        <v>131</v>
      </c>
      <c r="O6" s="241" t="s">
        <v>130</v>
      </c>
      <c r="P6" s="241" t="s">
        <v>146</v>
      </c>
      <c r="Q6" s="241" t="s">
        <v>162</v>
      </c>
      <c r="R6" s="242" t="s">
        <v>175</v>
      </c>
    </row>
    <row r="7" spans="1:18" ht="20.100000000000001" customHeight="1">
      <c r="A7" s="12"/>
      <c r="B7" s="67" t="s">
        <v>53</v>
      </c>
      <c r="C7" s="47"/>
      <c r="D7" s="23"/>
      <c r="E7" s="23"/>
      <c r="F7" s="210">
        <v>43556</v>
      </c>
      <c r="G7" s="210">
        <v>43921</v>
      </c>
      <c r="H7" s="211">
        <v>44286</v>
      </c>
      <c r="I7" s="23"/>
      <c r="J7" s="23"/>
      <c r="K7" s="179"/>
      <c r="L7" s="180"/>
      <c r="M7" s="23"/>
      <c r="N7" s="23"/>
      <c r="O7" s="23"/>
      <c r="P7" s="23"/>
      <c r="Q7" s="23"/>
      <c r="R7" s="94"/>
    </row>
    <row r="8" spans="1:18" ht="20.100000000000001" customHeight="1">
      <c r="A8" s="13"/>
      <c r="B8" s="65" t="s">
        <v>38</v>
      </c>
      <c r="C8" s="36"/>
      <c r="D8" s="21"/>
      <c r="E8" s="80"/>
      <c r="F8" s="118"/>
      <c r="G8" s="118"/>
      <c r="H8" s="123"/>
      <c r="I8" s="80"/>
      <c r="J8" s="80"/>
      <c r="K8" s="120"/>
      <c r="L8" s="180"/>
      <c r="M8" s="80"/>
      <c r="N8" s="80"/>
      <c r="O8" s="80"/>
      <c r="P8" s="80"/>
      <c r="Q8" s="80"/>
      <c r="R8" s="181"/>
    </row>
    <row r="9" spans="1:18" ht="20.100000000000001" customHeight="1">
      <c r="A9" s="13"/>
      <c r="B9" s="66" t="s">
        <v>39</v>
      </c>
      <c r="C9" s="131">
        <v>47371</v>
      </c>
      <c r="D9" s="101">
        <v>47371</v>
      </c>
      <c r="E9" s="101">
        <v>54523</v>
      </c>
      <c r="F9" s="101">
        <v>48673</v>
      </c>
      <c r="G9" s="101">
        <v>50660</v>
      </c>
      <c r="H9" s="99">
        <v>51765</v>
      </c>
      <c r="I9" s="101">
        <v>48673</v>
      </c>
      <c r="J9" s="124">
        <f>55554-6881-575</f>
        <v>48098</v>
      </c>
      <c r="K9" s="124">
        <f>55554-6881+500-1111</f>
        <v>48062</v>
      </c>
      <c r="L9" s="124">
        <f>55554-6881-119-278</f>
        <v>48276</v>
      </c>
      <c r="M9" s="101">
        <v>50660</v>
      </c>
      <c r="N9" s="124">
        <f>56889-6229</f>
        <v>50660</v>
      </c>
      <c r="O9" s="195">
        <v>50268</v>
      </c>
      <c r="P9" s="195">
        <v>51234</v>
      </c>
      <c r="Q9" s="101">
        <v>51765</v>
      </c>
      <c r="R9" s="99">
        <v>50455</v>
      </c>
    </row>
    <row r="10" spans="1:18" ht="20.100000000000001" customHeight="1">
      <c r="A10" s="13"/>
      <c r="B10" s="66" t="s">
        <v>40</v>
      </c>
      <c r="C10" s="131">
        <v>22228</v>
      </c>
      <c r="D10" s="101">
        <v>30147</v>
      </c>
      <c r="E10" s="101">
        <v>37648</v>
      </c>
      <c r="F10" s="101">
        <v>25635</v>
      </c>
      <c r="G10" s="101">
        <v>25313</v>
      </c>
      <c r="H10" s="99">
        <v>24783</v>
      </c>
      <c r="I10" s="101">
        <v>25635</v>
      </c>
      <c r="J10" s="124">
        <f>41789-16695</f>
        <v>25094</v>
      </c>
      <c r="K10" s="124">
        <f>42331-16695</f>
        <v>25636</v>
      </c>
      <c r="L10" s="124">
        <f>42737-16695</f>
        <v>26042</v>
      </c>
      <c r="M10" s="101">
        <v>25313</v>
      </c>
      <c r="N10" s="124">
        <f>43316-19025</f>
        <v>24291</v>
      </c>
      <c r="O10" s="195">
        <v>24555</v>
      </c>
      <c r="P10" s="195">
        <v>24490</v>
      </c>
      <c r="Q10" s="101">
        <v>24783</v>
      </c>
      <c r="R10" s="99">
        <v>24398</v>
      </c>
    </row>
    <row r="11" spans="1:18" ht="20.100000000000001" customHeight="1">
      <c r="A11" s="12"/>
      <c r="B11" s="66" t="s">
        <v>41</v>
      </c>
      <c r="C11" s="131">
        <v>48347</v>
      </c>
      <c r="D11" s="101">
        <v>65458</v>
      </c>
      <c r="E11" s="101">
        <v>65238</v>
      </c>
      <c r="F11" s="101">
        <v>29130</v>
      </c>
      <c r="G11" s="101">
        <v>36753</v>
      </c>
      <c r="H11" s="99">
        <v>48651</v>
      </c>
      <c r="I11" s="101">
        <v>29130</v>
      </c>
      <c r="J11" s="124">
        <f>75360+1694-35062+300</f>
        <v>42292</v>
      </c>
      <c r="K11" s="124">
        <f>66162+1857-22333+650-5000</f>
        <v>41336</v>
      </c>
      <c r="L11" s="195">
        <f>65252+2750-22549+1103-5000</f>
        <v>41556</v>
      </c>
      <c r="M11" s="101">
        <v>36753</v>
      </c>
      <c r="N11" s="124">
        <f>64696-31722+4034</f>
        <v>37008</v>
      </c>
      <c r="O11" s="195">
        <v>41934</v>
      </c>
      <c r="P11" s="195">
        <v>44355</v>
      </c>
      <c r="Q11" s="101">
        <v>48651</v>
      </c>
      <c r="R11" s="99">
        <v>51304</v>
      </c>
    </row>
    <row r="12" spans="1:18" ht="20.100000000000001" customHeight="1">
      <c r="A12" s="12"/>
      <c r="B12" s="154" t="s">
        <v>107</v>
      </c>
      <c r="C12" s="153">
        <v>0</v>
      </c>
      <c r="D12" s="101">
        <v>0</v>
      </c>
      <c r="E12" s="101">
        <v>0</v>
      </c>
      <c r="F12" s="101">
        <v>35062</v>
      </c>
      <c r="G12" s="101">
        <v>41792</v>
      </c>
      <c r="H12" s="99">
        <v>49446</v>
      </c>
      <c r="I12" s="101">
        <v>35062</v>
      </c>
      <c r="J12" s="124">
        <f>35062-300</f>
        <v>34762</v>
      </c>
      <c r="K12" s="124">
        <f>12729+22333-650+5000</f>
        <v>39412</v>
      </c>
      <c r="L12" s="124">
        <f>12513+22549-1103+5000</f>
        <v>38959</v>
      </c>
      <c r="M12" s="101">
        <v>41792</v>
      </c>
      <c r="N12" s="124">
        <f>10254+31722</f>
        <v>41976</v>
      </c>
      <c r="O12" s="124">
        <v>45908</v>
      </c>
      <c r="P12" s="124">
        <v>46711</v>
      </c>
      <c r="Q12" s="101">
        <v>49446</v>
      </c>
      <c r="R12" s="99">
        <v>48391</v>
      </c>
    </row>
    <row r="13" spans="1:18" ht="21.75" customHeight="1">
      <c r="A13" s="13"/>
      <c r="B13" s="66" t="s">
        <v>42</v>
      </c>
      <c r="C13" s="131">
        <v>6935</v>
      </c>
      <c r="D13" s="101">
        <v>4107</v>
      </c>
      <c r="E13" s="101">
        <v>4447</v>
      </c>
      <c r="F13" s="101">
        <v>4040</v>
      </c>
      <c r="G13" s="101">
        <v>3876</v>
      </c>
      <c r="H13" s="99">
        <v>5284</v>
      </c>
      <c r="I13" s="101">
        <v>4040</v>
      </c>
      <c r="J13" s="124">
        <f>3694+229</f>
        <v>3923</v>
      </c>
      <c r="K13" s="124">
        <f>3570+229</f>
        <v>3799</v>
      </c>
      <c r="L13" s="195">
        <f>3052+229</f>
        <v>3281</v>
      </c>
      <c r="M13" s="101">
        <v>3876</v>
      </c>
      <c r="N13" s="124">
        <f>2866+195</f>
        <v>3061</v>
      </c>
      <c r="O13" s="195">
        <f>2520+195</f>
        <v>2715</v>
      </c>
      <c r="P13" s="195">
        <f>2591+195</f>
        <v>2786</v>
      </c>
      <c r="Q13" s="101">
        <v>5284</v>
      </c>
      <c r="R13" s="99">
        <v>5288</v>
      </c>
    </row>
    <row r="14" spans="1:18" ht="21.75" customHeight="1">
      <c r="A14" s="13"/>
      <c r="B14" s="66" t="s">
        <v>46</v>
      </c>
      <c r="C14" s="131">
        <v>0</v>
      </c>
      <c r="D14" s="101">
        <v>0</v>
      </c>
      <c r="E14" s="101">
        <v>34</v>
      </c>
      <c r="F14" s="101">
        <v>46</v>
      </c>
      <c r="G14" s="101">
        <v>49</v>
      </c>
      <c r="H14" s="99">
        <v>141</v>
      </c>
      <c r="I14" s="101">
        <v>46</v>
      </c>
      <c r="J14" s="124">
        <f>46</f>
        <v>46</v>
      </c>
      <c r="K14" s="124">
        <v>57</v>
      </c>
      <c r="L14" s="195">
        <v>57</v>
      </c>
      <c r="M14" s="101">
        <v>49</v>
      </c>
      <c r="N14" s="124">
        <v>54</v>
      </c>
      <c r="O14" s="124">
        <v>57</v>
      </c>
      <c r="P14" s="124">
        <v>80</v>
      </c>
      <c r="Q14" s="101">
        <v>141</v>
      </c>
      <c r="R14" s="99">
        <v>140</v>
      </c>
    </row>
    <row r="15" spans="1:18" ht="21.75" customHeight="1">
      <c r="A15" s="13"/>
      <c r="B15" s="66" t="s">
        <v>163</v>
      </c>
      <c r="C15" s="131">
        <v>0</v>
      </c>
      <c r="D15" s="101">
        <v>0</v>
      </c>
      <c r="E15" s="101">
        <v>0</v>
      </c>
      <c r="F15" s="101">
        <v>7859</v>
      </c>
      <c r="G15" s="101">
        <v>8172</v>
      </c>
      <c r="H15" s="99">
        <v>7683</v>
      </c>
      <c r="I15" s="101">
        <v>7859</v>
      </c>
      <c r="J15" s="124">
        <f>7948</f>
        <v>7948</v>
      </c>
      <c r="K15" s="124">
        <f>7937</f>
        <v>7937</v>
      </c>
      <c r="L15" s="195">
        <f>7798</f>
        <v>7798</v>
      </c>
      <c r="M15" s="101">
        <v>8172</v>
      </c>
      <c r="N15" s="124">
        <f>7574</f>
        <v>7574</v>
      </c>
      <c r="O15" s="124">
        <f>6922</f>
        <v>6922</v>
      </c>
      <c r="P15" s="124">
        <f>7483</f>
        <v>7483</v>
      </c>
      <c r="Q15" s="101">
        <v>7683</v>
      </c>
      <c r="R15" s="99">
        <v>7845</v>
      </c>
    </row>
    <row r="16" spans="1:18" ht="20.100000000000001" customHeight="1" thickBot="1">
      <c r="A16" s="12"/>
      <c r="B16" s="66" t="s">
        <v>43</v>
      </c>
      <c r="C16" s="131">
        <v>9335</v>
      </c>
      <c r="D16" s="101">
        <v>8405</v>
      </c>
      <c r="E16" s="101">
        <v>13182</v>
      </c>
      <c r="F16" s="101">
        <v>648</v>
      </c>
      <c r="G16" s="101">
        <v>370</v>
      </c>
      <c r="H16" s="99">
        <v>268</v>
      </c>
      <c r="I16" s="101">
        <v>648</v>
      </c>
      <c r="J16" s="124">
        <f>15154-4793-1694-7948</f>
        <v>719</v>
      </c>
      <c r="K16" s="124">
        <f>15507-4995-1857-7937</f>
        <v>718</v>
      </c>
      <c r="L16" s="195">
        <f>16342-5201-2750-7798</f>
        <v>593</v>
      </c>
      <c r="M16" s="101">
        <v>370</v>
      </c>
      <c r="N16" s="124">
        <f>18161-5618-4034-7574</f>
        <v>935</v>
      </c>
      <c r="O16" s="195">
        <f>7704-6922</f>
        <v>782</v>
      </c>
      <c r="P16" s="195">
        <f>8278-7483</f>
        <v>795</v>
      </c>
      <c r="Q16" s="101">
        <v>268</v>
      </c>
      <c r="R16" s="99">
        <v>239</v>
      </c>
    </row>
    <row r="17" spans="1:18" ht="20.100000000000001" customHeight="1" thickBot="1">
      <c r="A17" s="13"/>
      <c r="B17" s="44"/>
      <c r="C17" s="111">
        <f>SUM(C9:C16)</f>
        <v>134216</v>
      </c>
      <c r="D17" s="102">
        <f t="shared" ref="D17:N17" si="0">SUM(D9:D16)</f>
        <v>155488</v>
      </c>
      <c r="E17" s="102">
        <f t="shared" si="0"/>
        <v>175072</v>
      </c>
      <c r="F17" s="102">
        <f t="shared" si="0"/>
        <v>151093</v>
      </c>
      <c r="G17" s="102">
        <f t="shared" ref="G17" si="1">SUM(G9:G16)</f>
        <v>166985</v>
      </c>
      <c r="H17" s="102">
        <f t="shared" si="0"/>
        <v>188021</v>
      </c>
      <c r="I17" s="245">
        <f t="shared" ref="I17" si="2">SUM(I9:I16)</f>
        <v>151093</v>
      </c>
      <c r="J17" s="246">
        <f t="shared" si="0"/>
        <v>162882</v>
      </c>
      <c r="K17" s="248">
        <f t="shared" si="0"/>
        <v>166957</v>
      </c>
      <c r="L17" s="248">
        <f t="shared" si="0"/>
        <v>166562</v>
      </c>
      <c r="M17" s="246">
        <f t="shared" si="0"/>
        <v>166985</v>
      </c>
      <c r="N17" s="248">
        <f t="shared" si="0"/>
        <v>165559</v>
      </c>
      <c r="O17" s="248">
        <f t="shared" ref="O17:Q17" si="3">SUM(O9:O16)</f>
        <v>173141</v>
      </c>
      <c r="P17" s="248">
        <f t="shared" si="3"/>
        <v>177934</v>
      </c>
      <c r="Q17" s="246">
        <f t="shared" si="3"/>
        <v>188021</v>
      </c>
      <c r="R17" s="249">
        <v>188060</v>
      </c>
    </row>
    <row r="18" spans="1:18" ht="20.100000000000001" customHeight="1">
      <c r="A18" s="13"/>
      <c r="B18" s="67"/>
      <c r="C18" s="168"/>
      <c r="D18" s="169"/>
      <c r="E18" s="182"/>
      <c r="F18" s="182"/>
      <c r="G18" s="182"/>
      <c r="H18" s="183"/>
      <c r="I18" s="184"/>
      <c r="J18" s="23"/>
      <c r="K18" s="222"/>
      <c r="L18" s="23"/>
      <c r="M18" s="184"/>
      <c r="N18" s="184"/>
      <c r="O18" s="184"/>
      <c r="P18" s="184"/>
      <c r="Q18" s="184"/>
      <c r="R18" s="185"/>
    </row>
    <row r="19" spans="1:18" ht="20.100000000000001" customHeight="1">
      <c r="A19" s="13"/>
      <c r="B19" s="65" t="s">
        <v>44</v>
      </c>
      <c r="C19" s="40"/>
      <c r="D19" s="37"/>
      <c r="E19" s="118"/>
      <c r="F19" s="184"/>
      <c r="G19" s="184"/>
      <c r="H19" s="185"/>
      <c r="I19" s="184"/>
      <c r="J19" s="80"/>
      <c r="K19" s="221"/>
      <c r="L19" s="80"/>
      <c r="M19" s="184"/>
      <c r="N19" s="118"/>
      <c r="O19" s="178"/>
      <c r="P19" s="178"/>
      <c r="Q19" s="184"/>
      <c r="R19" s="185"/>
    </row>
    <row r="20" spans="1:18" ht="20.100000000000001" customHeight="1">
      <c r="A20" s="13"/>
      <c r="B20" s="66" t="s">
        <v>45</v>
      </c>
      <c r="C20" s="131">
        <v>29377</v>
      </c>
      <c r="D20" s="101">
        <v>36790</v>
      </c>
      <c r="E20" s="101">
        <v>41876</v>
      </c>
      <c r="F20" s="101">
        <v>45502</v>
      </c>
      <c r="G20" s="101">
        <v>41782</v>
      </c>
      <c r="H20" s="99">
        <v>41751</v>
      </c>
      <c r="I20" s="101">
        <v>45502</v>
      </c>
      <c r="J20" s="124">
        <f>45968-2041</f>
        <v>43927</v>
      </c>
      <c r="K20" s="124">
        <f>44339-2041</f>
        <v>42298</v>
      </c>
      <c r="L20" s="195">
        <f>42359-2041</f>
        <v>40318</v>
      </c>
      <c r="M20" s="101">
        <v>41782</v>
      </c>
      <c r="N20" s="124">
        <f>46942-2498</f>
        <v>44444</v>
      </c>
      <c r="O20" s="124">
        <v>41987</v>
      </c>
      <c r="P20" s="124">
        <v>43389</v>
      </c>
      <c r="Q20" s="101">
        <v>41751</v>
      </c>
      <c r="R20" s="99">
        <v>49340</v>
      </c>
    </row>
    <row r="21" spans="1:18" ht="20.100000000000001" customHeight="1">
      <c r="A21" s="13"/>
      <c r="B21" s="66" t="s">
        <v>46</v>
      </c>
      <c r="C21" s="131">
        <v>12</v>
      </c>
      <c r="D21" s="101">
        <v>111</v>
      </c>
      <c r="E21" s="101">
        <v>23</v>
      </c>
      <c r="F21" s="101">
        <v>6</v>
      </c>
      <c r="G21" s="101">
        <v>0</v>
      </c>
      <c r="H21" s="99">
        <v>0</v>
      </c>
      <c r="I21" s="101">
        <v>6</v>
      </c>
      <c r="J21" s="124">
        <v>4</v>
      </c>
      <c r="K21" s="124">
        <v>0</v>
      </c>
      <c r="L21" s="195">
        <v>0</v>
      </c>
      <c r="M21" s="101">
        <v>0</v>
      </c>
      <c r="N21" s="124">
        <v>0</v>
      </c>
      <c r="O21" s="124">
        <v>0</v>
      </c>
      <c r="P21" s="124">
        <v>0</v>
      </c>
      <c r="Q21" s="101">
        <v>0</v>
      </c>
      <c r="R21" s="99">
        <v>0</v>
      </c>
    </row>
    <row r="22" spans="1:18" ht="20.100000000000001" customHeight="1">
      <c r="A22" s="12"/>
      <c r="B22" s="66" t="s">
        <v>47</v>
      </c>
      <c r="C22" s="131">
        <v>75543</v>
      </c>
      <c r="D22" s="101">
        <v>79806</v>
      </c>
      <c r="E22" s="101">
        <v>84349</v>
      </c>
      <c r="F22" s="101">
        <v>83573</v>
      </c>
      <c r="G22" s="101">
        <v>82171</v>
      </c>
      <c r="H22" s="99">
        <v>74531</v>
      </c>
      <c r="I22" s="101">
        <v>83573</v>
      </c>
      <c r="J22" s="124">
        <f>98518-15066-5523+1200</f>
        <v>79129</v>
      </c>
      <c r="K22" s="124">
        <f>103672-22408-5285+1200</f>
        <v>77179</v>
      </c>
      <c r="L22" s="195">
        <f>103019-11427-4897+1200</f>
        <v>87895</v>
      </c>
      <c r="M22" s="101">
        <v>82171</v>
      </c>
      <c r="N22" s="124">
        <f>92610-4261-12091+1200</f>
        <v>77458</v>
      </c>
      <c r="O22" s="195">
        <f>90482-14959-5030+1200</f>
        <v>71693</v>
      </c>
      <c r="P22" s="195">
        <f>79904-4943+1200-10827</f>
        <v>65334</v>
      </c>
      <c r="Q22" s="101">
        <v>74531</v>
      </c>
      <c r="R22" s="99">
        <v>83292</v>
      </c>
    </row>
    <row r="23" spans="1:18" ht="20.100000000000001" customHeight="1">
      <c r="A23" s="12"/>
      <c r="B23" s="66" t="s">
        <v>164</v>
      </c>
      <c r="C23" s="131">
        <v>0</v>
      </c>
      <c r="D23" s="101">
        <v>0</v>
      </c>
      <c r="E23" s="101">
        <v>0</v>
      </c>
      <c r="F23" s="101">
        <v>14254</v>
      </c>
      <c r="G23" s="101">
        <v>11801</v>
      </c>
      <c r="H23" s="99">
        <v>11409</v>
      </c>
      <c r="I23" s="101">
        <v>14254</v>
      </c>
      <c r="J23" s="124">
        <f>15066</f>
        <v>15066</v>
      </c>
      <c r="K23" s="124">
        <f>22408</f>
        <v>22408</v>
      </c>
      <c r="L23" s="195">
        <f>11427</f>
        <v>11427</v>
      </c>
      <c r="M23" s="101">
        <v>11801</v>
      </c>
      <c r="N23" s="124">
        <f>12091</f>
        <v>12091</v>
      </c>
      <c r="O23" s="195">
        <f>14959</f>
        <v>14959</v>
      </c>
      <c r="P23" s="195">
        <f>10827</f>
        <v>10827</v>
      </c>
      <c r="Q23" s="101">
        <v>11409</v>
      </c>
      <c r="R23" s="99">
        <v>11888</v>
      </c>
    </row>
    <row r="24" spans="1:18" ht="20.100000000000001" customHeight="1">
      <c r="A24" s="12"/>
      <c r="B24" s="66" t="s">
        <v>165</v>
      </c>
      <c r="C24" s="131">
        <v>0</v>
      </c>
      <c r="D24" s="101">
        <v>0</v>
      </c>
      <c r="E24" s="101">
        <v>0</v>
      </c>
      <c r="F24" s="101">
        <v>4860</v>
      </c>
      <c r="G24" s="101">
        <v>3098</v>
      </c>
      <c r="H24" s="99">
        <v>3566</v>
      </c>
      <c r="I24" s="101">
        <v>4860</v>
      </c>
      <c r="J24" s="124">
        <f>5523-1200</f>
        <v>4323</v>
      </c>
      <c r="K24" s="124">
        <f>5285-1200</f>
        <v>4085</v>
      </c>
      <c r="L24" s="195">
        <f>4897-1200</f>
        <v>3697</v>
      </c>
      <c r="M24" s="101">
        <v>3098</v>
      </c>
      <c r="N24" s="124">
        <f>4261-1200</f>
        <v>3061</v>
      </c>
      <c r="O24" s="195">
        <f>5030-1200</f>
        <v>3830</v>
      </c>
      <c r="P24" s="195">
        <f>4943-1200</f>
        <v>3743</v>
      </c>
      <c r="Q24" s="101">
        <v>3566</v>
      </c>
      <c r="R24" s="99">
        <v>3272</v>
      </c>
    </row>
    <row r="25" spans="1:18" ht="20.100000000000001" customHeight="1">
      <c r="A25" s="12"/>
      <c r="B25" s="75" t="s">
        <v>87</v>
      </c>
      <c r="C25" s="131">
        <v>36</v>
      </c>
      <c r="D25" s="101">
        <v>59</v>
      </c>
      <c r="E25" s="101">
        <v>52</v>
      </c>
      <c r="F25" s="101">
        <v>5</v>
      </c>
      <c r="G25" s="101">
        <v>48</v>
      </c>
      <c r="H25" s="99">
        <v>0</v>
      </c>
      <c r="I25" s="101">
        <v>5</v>
      </c>
      <c r="J25" s="124">
        <v>13</v>
      </c>
      <c r="K25" s="124">
        <v>1</v>
      </c>
      <c r="L25" s="195">
        <f>17</f>
        <v>17</v>
      </c>
      <c r="M25" s="101">
        <v>48</v>
      </c>
      <c r="N25" s="124">
        <v>0</v>
      </c>
      <c r="O25" s="195">
        <v>17</v>
      </c>
      <c r="P25" s="195">
        <v>0</v>
      </c>
      <c r="Q25" s="101">
        <v>0</v>
      </c>
      <c r="R25" s="99">
        <v>0</v>
      </c>
    </row>
    <row r="26" spans="1:18" ht="20.100000000000001" customHeight="1">
      <c r="A26" s="13"/>
      <c r="B26" s="75" t="s">
        <v>48</v>
      </c>
      <c r="C26" s="131">
        <v>6408</v>
      </c>
      <c r="D26" s="101">
        <v>400</v>
      </c>
      <c r="E26" s="101">
        <v>422</v>
      </c>
      <c r="F26" s="101">
        <v>433</v>
      </c>
      <c r="G26" s="101">
        <v>1333</v>
      </c>
      <c r="H26" s="99">
        <v>359</v>
      </c>
      <c r="I26" s="101">
        <v>433</v>
      </c>
      <c r="J26" s="124">
        <v>764</v>
      </c>
      <c r="K26" s="124">
        <f>988</f>
        <v>988</v>
      </c>
      <c r="L26" s="195">
        <f>1342</f>
        <v>1342</v>
      </c>
      <c r="M26" s="101">
        <v>1333</v>
      </c>
      <c r="N26" s="124">
        <f>1265</f>
        <v>1265</v>
      </c>
      <c r="O26" s="124">
        <v>914</v>
      </c>
      <c r="P26" s="124">
        <v>891</v>
      </c>
      <c r="Q26" s="101">
        <v>359</v>
      </c>
      <c r="R26" s="99">
        <v>305</v>
      </c>
    </row>
    <row r="27" spans="1:18" ht="20.100000000000001" customHeight="1">
      <c r="A27" s="13"/>
      <c r="B27" s="66" t="s">
        <v>49</v>
      </c>
      <c r="C27" s="131">
        <v>2253</v>
      </c>
      <c r="D27" s="139">
        <v>1841</v>
      </c>
      <c r="E27" s="101">
        <v>1816</v>
      </c>
      <c r="F27" s="101">
        <v>1699</v>
      </c>
      <c r="G27" s="101">
        <v>1918</v>
      </c>
      <c r="H27" s="99">
        <v>2941</v>
      </c>
      <c r="I27" s="101">
        <v>1699</v>
      </c>
      <c r="J27" s="124">
        <v>1529</v>
      </c>
      <c r="K27" s="124">
        <f>1215</f>
        <v>1215</v>
      </c>
      <c r="L27" s="124">
        <f>814</f>
        <v>814</v>
      </c>
      <c r="M27" s="101">
        <v>1918</v>
      </c>
      <c r="N27" s="124">
        <f>1840</f>
        <v>1840</v>
      </c>
      <c r="O27" s="124">
        <v>1680</v>
      </c>
      <c r="P27" s="124">
        <v>1576</v>
      </c>
      <c r="Q27" s="101">
        <v>2941</v>
      </c>
      <c r="R27" s="99">
        <v>3543</v>
      </c>
    </row>
    <row r="28" spans="1:18" ht="20.100000000000001" customHeight="1" thickBot="1">
      <c r="A28" s="13"/>
      <c r="B28" s="66" t="s">
        <v>50</v>
      </c>
      <c r="C28" s="131">
        <v>6771</v>
      </c>
      <c r="D28" s="101">
        <v>11108</v>
      </c>
      <c r="E28" s="101">
        <v>12664</v>
      </c>
      <c r="F28" s="101">
        <v>13523</v>
      </c>
      <c r="G28" s="101">
        <v>12754</v>
      </c>
      <c r="H28" s="99">
        <v>24228</v>
      </c>
      <c r="I28" s="101">
        <v>13523</v>
      </c>
      <c r="J28" s="124">
        <v>14084</v>
      </c>
      <c r="K28" s="124">
        <f>14921</f>
        <v>14921</v>
      </c>
      <c r="L28" s="195">
        <f>12855</f>
        <v>12855</v>
      </c>
      <c r="M28" s="101">
        <v>12754</v>
      </c>
      <c r="N28" s="124">
        <f>23691</f>
        <v>23691</v>
      </c>
      <c r="O28" s="124">
        <v>30439</v>
      </c>
      <c r="P28" s="124">
        <v>27342</v>
      </c>
      <c r="Q28" s="101">
        <v>24228</v>
      </c>
      <c r="R28" s="99">
        <v>30855</v>
      </c>
    </row>
    <row r="29" spans="1:18" ht="20.100000000000001" customHeight="1" thickBot="1">
      <c r="A29" s="13"/>
      <c r="B29" s="165"/>
      <c r="C29" s="166">
        <f>SUM(C20:C28)</f>
        <v>120400</v>
      </c>
      <c r="D29" s="167">
        <f t="shared" ref="D29:N29" si="4">SUM(D20:D28)</f>
        <v>130115</v>
      </c>
      <c r="E29" s="167">
        <f t="shared" si="4"/>
        <v>141202</v>
      </c>
      <c r="F29" s="167">
        <f t="shared" si="4"/>
        <v>163855</v>
      </c>
      <c r="G29" s="167">
        <f t="shared" ref="G29" si="5">SUM(G20:G28)</f>
        <v>154905</v>
      </c>
      <c r="H29" s="167">
        <f t="shared" si="4"/>
        <v>158785</v>
      </c>
      <c r="I29" s="245">
        <f t="shared" ref="I29" si="6">SUM(I20:I28)</f>
        <v>163855</v>
      </c>
      <c r="J29" s="246">
        <f t="shared" si="4"/>
        <v>158839</v>
      </c>
      <c r="K29" s="246">
        <f t="shared" si="4"/>
        <v>163095</v>
      </c>
      <c r="L29" s="246">
        <f t="shared" si="4"/>
        <v>158365</v>
      </c>
      <c r="M29" s="246">
        <f t="shared" si="4"/>
        <v>154905</v>
      </c>
      <c r="N29" s="246">
        <f t="shared" si="4"/>
        <v>163850</v>
      </c>
      <c r="O29" s="246">
        <f t="shared" ref="O29:Q29" si="7">SUM(O20:O28)</f>
        <v>165519</v>
      </c>
      <c r="P29" s="246">
        <f t="shared" si="7"/>
        <v>153102</v>
      </c>
      <c r="Q29" s="246">
        <f t="shared" si="7"/>
        <v>158785</v>
      </c>
      <c r="R29" s="249">
        <v>182495</v>
      </c>
    </row>
    <row r="30" spans="1:18" ht="20.100000000000001" customHeight="1" thickBot="1">
      <c r="A30" s="13"/>
      <c r="B30" s="55" t="s">
        <v>51</v>
      </c>
      <c r="C30" s="111">
        <f>C29+C17</f>
        <v>254616</v>
      </c>
      <c r="D30" s="102">
        <f t="shared" ref="D30:N30" si="8">D29+D17</f>
        <v>285603</v>
      </c>
      <c r="E30" s="102">
        <f t="shared" si="8"/>
        <v>316274</v>
      </c>
      <c r="F30" s="102">
        <f t="shared" si="8"/>
        <v>314948</v>
      </c>
      <c r="G30" s="102">
        <f t="shared" ref="G30" si="9">G29+G17</f>
        <v>321890</v>
      </c>
      <c r="H30" s="102">
        <f t="shared" si="8"/>
        <v>346806</v>
      </c>
      <c r="I30" s="250">
        <f t="shared" ref="I30" si="10">I29+I17</f>
        <v>314948</v>
      </c>
      <c r="J30" s="243">
        <f t="shared" si="8"/>
        <v>321721</v>
      </c>
      <c r="K30" s="243">
        <f t="shared" si="8"/>
        <v>330052</v>
      </c>
      <c r="L30" s="243">
        <f t="shared" si="8"/>
        <v>324927</v>
      </c>
      <c r="M30" s="243">
        <f t="shared" si="8"/>
        <v>321890</v>
      </c>
      <c r="N30" s="243">
        <f t="shared" si="8"/>
        <v>329409</v>
      </c>
      <c r="O30" s="243">
        <f t="shared" ref="O30:Q30" si="11">O29+O17</f>
        <v>338660</v>
      </c>
      <c r="P30" s="243">
        <f t="shared" si="11"/>
        <v>331036</v>
      </c>
      <c r="Q30" s="243">
        <f t="shared" si="11"/>
        <v>346806</v>
      </c>
      <c r="R30" s="244">
        <v>370555</v>
      </c>
    </row>
    <row r="31" spans="1:18" ht="20.100000000000001" customHeight="1">
      <c r="A31" s="13"/>
      <c r="B31" s="65"/>
      <c r="C31" s="36"/>
      <c r="D31" s="30"/>
      <c r="E31" s="118"/>
      <c r="F31" s="31"/>
      <c r="G31" s="31"/>
      <c r="H31" s="119"/>
      <c r="I31" s="31"/>
      <c r="J31" s="80"/>
      <c r="K31" s="80"/>
      <c r="L31" s="80"/>
      <c r="M31" s="31"/>
      <c r="N31" s="80"/>
      <c r="O31" s="80"/>
      <c r="P31" s="80"/>
      <c r="Q31" s="31"/>
      <c r="R31" s="119"/>
    </row>
    <row r="32" spans="1:18" ht="21" customHeight="1">
      <c r="A32" s="13"/>
      <c r="B32" s="67" t="s">
        <v>52</v>
      </c>
      <c r="C32" s="36"/>
      <c r="D32" s="30"/>
      <c r="E32" s="80"/>
      <c r="F32" s="118"/>
      <c r="G32" s="118"/>
      <c r="H32" s="123"/>
      <c r="I32" s="118"/>
      <c r="J32" s="232"/>
      <c r="K32" s="232"/>
      <c r="L32" s="80"/>
      <c r="M32" s="118"/>
      <c r="N32" s="80"/>
      <c r="O32" s="80"/>
      <c r="P32" s="80"/>
      <c r="Q32" s="118"/>
      <c r="R32" s="123"/>
    </row>
    <row r="33" spans="1:18" ht="20.100000000000001" customHeight="1">
      <c r="A33" s="13"/>
      <c r="B33" s="76" t="s">
        <v>54</v>
      </c>
      <c r="C33" s="36"/>
      <c r="D33" s="30"/>
      <c r="E33" s="80"/>
      <c r="F33" s="118"/>
      <c r="G33" s="118"/>
      <c r="H33" s="123"/>
      <c r="I33" s="118"/>
      <c r="J33" s="80"/>
      <c r="K33" s="80"/>
      <c r="L33" s="80"/>
      <c r="M33" s="118"/>
      <c r="N33" s="80"/>
      <c r="O33" s="80"/>
      <c r="P33" s="80"/>
      <c r="Q33" s="118"/>
      <c r="R33" s="123"/>
    </row>
    <row r="34" spans="1:18" ht="20.100000000000001" customHeight="1">
      <c r="A34" s="13"/>
      <c r="B34" s="77" t="s">
        <v>55</v>
      </c>
      <c r="C34" s="131">
        <v>3915</v>
      </c>
      <c r="D34" s="101">
        <v>3915</v>
      </c>
      <c r="E34" s="101">
        <v>3915</v>
      </c>
      <c r="F34" s="101">
        <v>3915</v>
      </c>
      <c r="G34" s="101">
        <v>3915</v>
      </c>
      <c r="H34" s="99">
        <v>3915</v>
      </c>
      <c r="I34" s="101">
        <v>3915</v>
      </c>
      <c r="J34" s="124">
        <f>3915</f>
        <v>3915</v>
      </c>
      <c r="K34" s="124">
        <v>3915</v>
      </c>
      <c r="L34" s="124">
        <v>3915</v>
      </c>
      <c r="M34" s="101">
        <v>3915</v>
      </c>
      <c r="N34" s="124">
        <f>3915</f>
        <v>3915</v>
      </c>
      <c r="O34" s="195">
        <v>3915</v>
      </c>
      <c r="P34" s="195">
        <v>3915</v>
      </c>
      <c r="Q34" s="101">
        <v>3915</v>
      </c>
      <c r="R34" s="99">
        <v>3915</v>
      </c>
    </row>
    <row r="35" spans="1:18" ht="20.100000000000001" customHeight="1">
      <c r="A35" s="13"/>
      <c r="B35" s="77" t="s">
        <v>56</v>
      </c>
      <c r="C35" s="131">
        <v>106202</v>
      </c>
      <c r="D35" s="101">
        <v>106202</v>
      </c>
      <c r="E35" s="101">
        <v>106202</v>
      </c>
      <c r="F35" s="101">
        <v>106202</v>
      </c>
      <c r="G35" s="101">
        <v>106202</v>
      </c>
      <c r="H35" s="99">
        <v>106202</v>
      </c>
      <c r="I35" s="101">
        <v>106202</v>
      </c>
      <c r="J35" s="124">
        <f>106202</f>
        <v>106202</v>
      </c>
      <c r="K35" s="124">
        <v>106202</v>
      </c>
      <c r="L35" s="124">
        <v>106202</v>
      </c>
      <c r="M35" s="101">
        <v>106202</v>
      </c>
      <c r="N35" s="124">
        <f>106202</f>
        <v>106202</v>
      </c>
      <c r="O35" s="195">
        <v>106202</v>
      </c>
      <c r="P35" s="195">
        <v>106202</v>
      </c>
      <c r="Q35" s="101">
        <v>106202</v>
      </c>
      <c r="R35" s="99">
        <v>106202</v>
      </c>
    </row>
    <row r="36" spans="1:18" ht="20.100000000000001" customHeight="1">
      <c r="A36" s="12"/>
      <c r="B36" s="77" t="s">
        <v>57</v>
      </c>
      <c r="C36" s="131">
        <v>857</v>
      </c>
      <c r="D36" s="101">
        <v>857</v>
      </c>
      <c r="E36" s="101">
        <v>857</v>
      </c>
      <c r="F36" s="101">
        <v>857</v>
      </c>
      <c r="G36" s="101">
        <v>857</v>
      </c>
      <c r="H36" s="99">
        <v>24357</v>
      </c>
      <c r="I36" s="101">
        <v>857</v>
      </c>
      <c r="J36" s="124">
        <v>857</v>
      </c>
      <c r="K36" s="124">
        <v>857</v>
      </c>
      <c r="L36" s="124">
        <v>857</v>
      </c>
      <c r="M36" s="101">
        <v>857</v>
      </c>
      <c r="N36" s="124">
        <v>857</v>
      </c>
      <c r="O36" s="124">
        <v>24357</v>
      </c>
      <c r="P36" s="124">
        <v>24357</v>
      </c>
      <c r="Q36" s="101">
        <v>24357</v>
      </c>
      <c r="R36" s="99">
        <v>24357</v>
      </c>
    </row>
    <row r="37" spans="1:18" ht="20.100000000000001" customHeight="1">
      <c r="A37" s="13"/>
      <c r="B37" s="77" t="s">
        <v>58</v>
      </c>
      <c r="C37" s="131">
        <v>0</v>
      </c>
      <c r="D37" s="101">
        <v>0</v>
      </c>
      <c r="E37" s="101">
        <v>6944</v>
      </c>
      <c r="F37" s="101">
        <v>0</v>
      </c>
      <c r="G37" s="101">
        <v>0</v>
      </c>
      <c r="H37" s="99">
        <v>0</v>
      </c>
      <c r="I37" s="101">
        <v>0</v>
      </c>
      <c r="J37" s="124">
        <v>0</v>
      </c>
      <c r="K37" s="124">
        <v>0</v>
      </c>
      <c r="L37" s="124">
        <v>0</v>
      </c>
      <c r="M37" s="101">
        <v>0</v>
      </c>
      <c r="N37" s="124">
        <v>0</v>
      </c>
      <c r="O37" s="195">
        <v>0</v>
      </c>
      <c r="P37" s="195">
        <v>0</v>
      </c>
      <c r="Q37" s="101">
        <v>0</v>
      </c>
      <c r="R37" s="99">
        <v>0</v>
      </c>
    </row>
    <row r="38" spans="1:18" ht="20.100000000000001" customHeight="1">
      <c r="A38" s="12"/>
      <c r="B38" s="155" t="s">
        <v>105</v>
      </c>
      <c r="C38" s="131">
        <v>1400</v>
      </c>
      <c r="D38" s="101">
        <v>2276</v>
      </c>
      <c r="E38" s="101">
        <v>1167</v>
      </c>
      <c r="F38" s="101">
        <v>0</v>
      </c>
      <c r="G38" s="101">
        <v>0</v>
      </c>
      <c r="H38" s="99">
        <v>0</v>
      </c>
      <c r="I38" s="101">
        <v>0</v>
      </c>
      <c r="J38" s="124">
        <v>0</v>
      </c>
      <c r="K38" s="124">
        <v>0</v>
      </c>
      <c r="L38" s="124">
        <v>0</v>
      </c>
      <c r="M38" s="101">
        <v>0</v>
      </c>
      <c r="N38" s="124">
        <v>0</v>
      </c>
      <c r="O38" s="195">
        <v>0</v>
      </c>
      <c r="P38" s="195">
        <v>0</v>
      </c>
      <c r="Q38" s="101">
        <v>0</v>
      </c>
      <c r="R38" s="99">
        <v>0</v>
      </c>
    </row>
    <row r="39" spans="1:18" ht="20.100000000000001" customHeight="1">
      <c r="A39" s="12"/>
      <c r="B39" s="155" t="s">
        <v>108</v>
      </c>
      <c r="C39" s="131">
        <v>0</v>
      </c>
      <c r="D39" s="101">
        <v>0</v>
      </c>
      <c r="E39" s="101">
        <v>0</v>
      </c>
      <c r="F39" s="101">
        <v>4518</v>
      </c>
      <c r="G39" s="101">
        <v>4440</v>
      </c>
      <c r="H39" s="99">
        <v>5222</v>
      </c>
      <c r="I39" s="101">
        <v>4518</v>
      </c>
      <c r="J39" s="124">
        <f>7975+2978-6881+186</f>
        <v>4258</v>
      </c>
      <c r="K39" s="124">
        <f>7975+1490-6881+500</f>
        <v>3084</v>
      </c>
      <c r="L39" s="124">
        <f>7975+1850-6881+875</f>
        <v>3819</v>
      </c>
      <c r="M39" s="101">
        <v>4440</v>
      </c>
      <c r="N39" s="124">
        <f>9310-326-6229</f>
        <v>2755</v>
      </c>
      <c r="O39" s="195">
        <v>2294</v>
      </c>
      <c r="P39" s="195">
        <v>4513</v>
      </c>
      <c r="Q39" s="101">
        <v>5222</v>
      </c>
      <c r="R39" s="99">
        <v>3468</v>
      </c>
    </row>
    <row r="40" spans="1:18" ht="20.100000000000001" customHeight="1">
      <c r="A40" s="12"/>
      <c r="B40" s="155" t="s">
        <v>147</v>
      </c>
      <c r="C40" s="131">
        <v>0</v>
      </c>
      <c r="D40" s="101">
        <v>0</v>
      </c>
      <c r="E40" s="101">
        <v>0</v>
      </c>
      <c r="F40" s="101">
        <v>0</v>
      </c>
      <c r="G40" s="101">
        <v>0</v>
      </c>
      <c r="H40" s="99">
        <v>-543</v>
      </c>
      <c r="I40" s="101">
        <v>0</v>
      </c>
      <c r="J40" s="124">
        <v>0</v>
      </c>
      <c r="K40" s="124">
        <v>0</v>
      </c>
      <c r="L40" s="124">
        <v>0</v>
      </c>
      <c r="M40" s="101">
        <v>0</v>
      </c>
      <c r="N40" s="124">
        <v>0</v>
      </c>
      <c r="O40" s="195">
        <v>-292</v>
      </c>
      <c r="P40" s="195">
        <v>-518</v>
      </c>
      <c r="Q40" s="101">
        <v>-543</v>
      </c>
      <c r="R40" s="99">
        <v>-604</v>
      </c>
    </row>
    <row r="41" spans="1:18" ht="20.100000000000001" customHeight="1" thickBot="1">
      <c r="A41" s="12"/>
      <c r="B41" s="77" t="s">
        <v>59</v>
      </c>
      <c r="C41" s="131">
        <v>7803</v>
      </c>
      <c r="D41" s="101">
        <v>-3059</v>
      </c>
      <c r="E41" s="101">
        <v>7147</v>
      </c>
      <c r="F41" s="101">
        <v>4583</v>
      </c>
      <c r="G41" s="101">
        <v>26148</v>
      </c>
      <c r="H41" s="99">
        <v>25587</v>
      </c>
      <c r="I41" s="101">
        <v>4583</v>
      </c>
      <c r="J41" s="124">
        <f>27581+479-2041+388-16695+576-761-1208+229</f>
        <v>8548</v>
      </c>
      <c r="K41" s="124">
        <f>33648-2041+388-16695+479+576-833-1208+229</f>
        <v>14543</v>
      </c>
      <c r="L41" s="124">
        <f>40267-2041+388-16695+479+576-1018-1208+229</f>
        <v>20977</v>
      </c>
      <c r="M41" s="101">
        <v>26148</v>
      </c>
      <c r="N41" s="124">
        <f>53217-2498+475-19025+919+479-1208+229+184-34</f>
        <v>32738</v>
      </c>
      <c r="O41" s="195">
        <f>14935-1208+229+184-34</f>
        <v>14106</v>
      </c>
      <c r="P41" s="195">
        <f>22779-1208+184+229-34</f>
        <v>21950</v>
      </c>
      <c r="Q41" s="101">
        <v>25587</v>
      </c>
      <c r="R41" s="99">
        <v>33308</v>
      </c>
    </row>
    <row r="42" spans="1:18" ht="23.25" customHeight="1" thickBot="1">
      <c r="A42" s="13"/>
      <c r="B42" s="170" t="s">
        <v>60</v>
      </c>
      <c r="C42" s="245">
        <f t="shared" ref="C42:O42" si="12">SUM(C34:C41)</f>
        <v>120177</v>
      </c>
      <c r="D42" s="246">
        <f t="shared" si="12"/>
        <v>110191</v>
      </c>
      <c r="E42" s="246">
        <f t="shared" si="12"/>
        <v>126232</v>
      </c>
      <c r="F42" s="246">
        <f t="shared" si="12"/>
        <v>120075</v>
      </c>
      <c r="G42" s="246">
        <f t="shared" ref="G42" si="13">SUM(G34:G41)</f>
        <v>141562</v>
      </c>
      <c r="H42" s="247">
        <f t="shared" si="12"/>
        <v>164740</v>
      </c>
      <c r="I42" s="246">
        <f t="shared" ref="I42" si="14">SUM(I34:I41)</f>
        <v>120075</v>
      </c>
      <c r="J42" s="248">
        <f t="shared" si="12"/>
        <v>123780</v>
      </c>
      <c r="K42" s="248">
        <f t="shared" si="12"/>
        <v>128601</v>
      </c>
      <c r="L42" s="248">
        <f t="shared" si="12"/>
        <v>135770</v>
      </c>
      <c r="M42" s="246">
        <f t="shared" si="12"/>
        <v>141562</v>
      </c>
      <c r="N42" s="246">
        <f t="shared" si="12"/>
        <v>146467</v>
      </c>
      <c r="O42" s="246">
        <f t="shared" si="12"/>
        <v>150582</v>
      </c>
      <c r="P42" s="246">
        <f t="shared" ref="P42:Q42" si="15">SUM(P34:P41)</f>
        <v>160419</v>
      </c>
      <c r="Q42" s="246">
        <f t="shared" si="15"/>
        <v>164740</v>
      </c>
      <c r="R42" s="249">
        <v>170646</v>
      </c>
    </row>
    <row r="43" spans="1:18" ht="20.100000000000001" customHeight="1" thickBot="1">
      <c r="A43" s="13"/>
      <c r="B43" s="77"/>
      <c r="C43" s="117"/>
      <c r="D43" s="118"/>
      <c r="E43" s="118"/>
      <c r="F43" s="31"/>
      <c r="G43" s="31"/>
      <c r="H43" s="119"/>
      <c r="I43" s="31"/>
      <c r="J43" s="230"/>
      <c r="K43" s="230"/>
      <c r="L43" s="222"/>
      <c r="M43" s="31"/>
      <c r="N43" s="118"/>
      <c r="O43" s="178"/>
      <c r="P43" s="178"/>
      <c r="Q43" s="31"/>
      <c r="R43" s="119"/>
    </row>
    <row r="44" spans="1:18" ht="20.100000000000001" customHeight="1" thickBot="1">
      <c r="A44" s="13"/>
      <c r="B44" s="77" t="s">
        <v>61</v>
      </c>
      <c r="C44" s="131">
        <v>3259</v>
      </c>
      <c r="D44" s="101">
        <v>5381</v>
      </c>
      <c r="E44" s="101">
        <v>4846</v>
      </c>
      <c r="F44" s="101">
        <v>3719</v>
      </c>
      <c r="G44" s="101">
        <v>4765</v>
      </c>
      <c r="H44" s="101">
        <v>6603</v>
      </c>
      <c r="I44" s="255">
        <v>3719</v>
      </c>
      <c r="J44" s="256">
        <f>4359-479</f>
        <v>3880</v>
      </c>
      <c r="K44" s="256">
        <f>5525-479</f>
        <v>5046</v>
      </c>
      <c r="L44" s="251">
        <f>5906-479+24</f>
        <v>5451</v>
      </c>
      <c r="M44" s="252">
        <v>4765</v>
      </c>
      <c r="N44" s="256">
        <f>6075-479</f>
        <v>5596</v>
      </c>
      <c r="O44" s="251">
        <v>5265</v>
      </c>
      <c r="P44" s="251">
        <v>6059</v>
      </c>
      <c r="Q44" s="252">
        <v>6603</v>
      </c>
      <c r="R44" s="253">
        <v>6990</v>
      </c>
    </row>
    <row r="45" spans="1:18" ht="20.100000000000001" customHeight="1" thickBot="1">
      <c r="A45" s="13"/>
      <c r="B45" s="170" t="s">
        <v>62</v>
      </c>
      <c r="C45" s="111">
        <f>C42+C44</f>
        <v>123436</v>
      </c>
      <c r="D45" s="102">
        <f t="shared" ref="D45:N45" si="16">D42+D44</f>
        <v>115572</v>
      </c>
      <c r="E45" s="102">
        <f t="shared" si="16"/>
        <v>131078</v>
      </c>
      <c r="F45" s="102">
        <f t="shared" si="16"/>
        <v>123794</v>
      </c>
      <c r="G45" s="102">
        <f t="shared" ref="G45" si="17">G42+G44</f>
        <v>146327</v>
      </c>
      <c r="H45" s="102">
        <f t="shared" si="16"/>
        <v>171343</v>
      </c>
      <c r="I45" s="250">
        <f t="shared" ref="I45" si="18">I42+I44</f>
        <v>123794</v>
      </c>
      <c r="J45" s="254">
        <f t="shared" si="16"/>
        <v>127660</v>
      </c>
      <c r="K45" s="254">
        <f t="shared" si="16"/>
        <v>133647</v>
      </c>
      <c r="L45" s="243">
        <f t="shared" si="16"/>
        <v>141221</v>
      </c>
      <c r="M45" s="243">
        <f t="shared" si="16"/>
        <v>146327</v>
      </c>
      <c r="N45" s="243">
        <f t="shared" si="16"/>
        <v>152063</v>
      </c>
      <c r="O45" s="243">
        <f t="shared" ref="O45:Q45" si="19">O42+O44</f>
        <v>155847</v>
      </c>
      <c r="P45" s="243">
        <f t="shared" si="19"/>
        <v>166478</v>
      </c>
      <c r="Q45" s="243">
        <f t="shared" si="19"/>
        <v>171343</v>
      </c>
      <c r="R45" s="244">
        <v>177636</v>
      </c>
    </row>
    <row r="46" spans="1:18" ht="20.100000000000001" customHeight="1">
      <c r="A46" s="12"/>
      <c r="B46" s="78"/>
      <c r="C46" s="38"/>
      <c r="D46" s="32"/>
      <c r="E46" s="32"/>
      <c r="F46" s="31"/>
      <c r="G46" s="31"/>
      <c r="H46" s="119"/>
      <c r="I46" s="31"/>
      <c r="J46" s="221"/>
      <c r="K46" s="221"/>
      <c r="L46" s="80"/>
      <c r="M46" s="31"/>
      <c r="N46" s="121"/>
      <c r="O46" s="121"/>
      <c r="P46" s="121"/>
      <c r="Q46" s="31"/>
      <c r="R46" s="119"/>
    </row>
    <row r="47" spans="1:18" ht="20.100000000000001" customHeight="1">
      <c r="A47" s="13"/>
      <c r="B47" s="76" t="s">
        <v>63</v>
      </c>
      <c r="C47" s="117"/>
      <c r="D47" s="118"/>
      <c r="E47" s="118"/>
      <c r="F47" s="32"/>
      <c r="G47" s="121"/>
      <c r="H47" s="122"/>
      <c r="I47" s="32"/>
      <c r="J47" s="230"/>
      <c r="K47" s="230"/>
      <c r="L47" s="80"/>
      <c r="M47" s="121"/>
      <c r="N47" s="118"/>
      <c r="O47" s="118"/>
      <c r="P47" s="118"/>
      <c r="Q47" s="121"/>
      <c r="R47" s="122"/>
    </row>
    <row r="48" spans="1:18" ht="20.100000000000001" customHeight="1">
      <c r="A48" s="12"/>
      <c r="B48" s="77" t="s">
        <v>64</v>
      </c>
      <c r="C48" s="131">
        <v>12444</v>
      </c>
      <c r="D48" s="101">
        <v>8289</v>
      </c>
      <c r="E48" s="101">
        <v>14155</v>
      </c>
      <c r="F48" s="101">
        <v>70180</v>
      </c>
      <c r="G48" s="101">
        <v>47018</v>
      </c>
      <c r="H48" s="99">
        <v>48529</v>
      </c>
      <c r="I48" s="101">
        <v>70180</v>
      </c>
      <c r="J48" s="124">
        <v>64734</v>
      </c>
      <c r="K48" s="124">
        <v>59719</v>
      </c>
      <c r="L48" s="124">
        <v>38889</v>
      </c>
      <c r="M48" s="101">
        <v>47018</v>
      </c>
      <c r="N48" s="124">
        <f>34658</f>
        <v>34658</v>
      </c>
      <c r="O48" s="195">
        <v>44406</v>
      </c>
      <c r="P48" s="195">
        <v>50124</v>
      </c>
      <c r="Q48" s="101">
        <v>48529</v>
      </c>
      <c r="R48" s="99">
        <v>55571</v>
      </c>
    </row>
    <row r="49" spans="1:18" ht="20.100000000000001" customHeight="1">
      <c r="A49" s="12"/>
      <c r="B49" s="77" t="s">
        <v>168</v>
      </c>
      <c r="C49" s="131">
        <v>2335</v>
      </c>
      <c r="D49" s="101">
        <v>1270</v>
      </c>
      <c r="E49" s="101"/>
      <c r="F49" s="101">
        <v>0</v>
      </c>
      <c r="G49" s="101">
        <v>0</v>
      </c>
      <c r="H49" s="99">
        <v>0</v>
      </c>
      <c r="I49" s="101">
        <v>0</v>
      </c>
      <c r="J49" s="124"/>
      <c r="K49" s="124"/>
      <c r="L49" s="124"/>
      <c r="M49" s="101">
        <v>0</v>
      </c>
      <c r="N49" s="124"/>
      <c r="O49" s="195"/>
      <c r="P49" s="195"/>
      <c r="Q49" s="101">
        <v>0</v>
      </c>
      <c r="R49" s="99">
        <v>0</v>
      </c>
    </row>
    <row r="50" spans="1:18" ht="20.100000000000001" customHeight="1">
      <c r="A50" s="13"/>
      <c r="B50" s="77" t="s">
        <v>65</v>
      </c>
      <c r="C50" s="131">
        <v>119</v>
      </c>
      <c r="D50" s="101">
        <v>1592</v>
      </c>
      <c r="E50" s="101">
        <v>2584</v>
      </c>
      <c r="F50" s="101">
        <v>849</v>
      </c>
      <c r="G50" s="101">
        <v>0</v>
      </c>
      <c r="H50" s="99">
        <v>0</v>
      </c>
      <c r="I50" s="101">
        <v>849</v>
      </c>
      <c r="J50" s="124">
        <f>1938-388</f>
        <v>1550</v>
      </c>
      <c r="K50" s="124">
        <f>2197-388</f>
        <v>1809</v>
      </c>
      <c r="L50" s="124">
        <f>1422-388</f>
        <v>1034</v>
      </c>
      <c r="M50" s="101">
        <v>0</v>
      </c>
      <c r="N50" s="124">
        <f>1112-475</f>
        <v>637</v>
      </c>
      <c r="O50" s="124">
        <v>1216</v>
      </c>
      <c r="P50" s="124">
        <v>153</v>
      </c>
      <c r="Q50" s="101">
        <v>0</v>
      </c>
      <c r="R50" s="99">
        <v>0</v>
      </c>
    </row>
    <row r="51" spans="1:18" ht="20.100000000000001" customHeight="1">
      <c r="A51" s="13"/>
      <c r="B51" s="77" t="s">
        <v>66</v>
      </c>
      <c r="C51" s="131">
        <v>146</v>
      </c>
      <c r="D51" s="101">
        <v>146</v>
      </c>
      <c r="E51" s="101">
        <v>177</v>
      </c>
      <c r="F51" s="101">
        <v>146</v>
      </c>
      <c r="G51" s="101">
        <v>258</v>
      </c>
      <c r="H51" s="99">
        <v>555</v>
      </c>
      <c r="I51" s="101">
        <v>146</v>
      </c>
      <c r="J51" s="124">
        <v>146</v>
      </c>
      <c r="K51" s="124">
        <v>146</v>
      </c>
      <c r="L51" s="124">
        <v>146</v>
      </c>
      <c r="M51" s="101">
        <v>258</v>
      </c>
      <c r="N51" s="124">
        <v>258</v>
      </c>
      <c r="O51" s="195">
        <v>258</v>
      </c>
      <c r="P51" s="195">
        <v>258</v>
      </c>
      <c r="Q51" s="101">
        <v>555</v>
      </c>
      <c r="R51" s="99">
        <v>1093</v>
      </c>
    </row>
    <row r="52" spans="1:18" ht="20.100000000000001" customHeight="1">
      <c r="A52" s="13"/>
      <c r="B52" s="77" t="s">
        <v>67</v>
      </c>
      <c r="C52" s="131">
        <v>4299</v>
      </c>
      <c r="D52" s="101">
        <v>4824</v>
      </c>
      <c r="E52" s="101">
        <v>6267</v>
      </c>
      <c r="F52" s="101">
        <v>5875</v>
      </c>
      <c r="G52" s="101">
        <v>5614</v>
      </c>
      <c r="H52" s="99">
        <v>4539</v>
      </c>
      <c r="I52" s="101">
        <v>5875</v>
      </c>
      <c r="J52" s="124">
        <f>6047-576</f>
        <v>5471</v>
      </c>
      <c r="K52" s="124">
        <f>6446-576-278</f>
        <v>5592</v>
      </c>
      <c r="L52" s="124">
        <f>6418-576-278</f>
        <v>5564</v>
      </c>
      <c r="M52" s="101">
        <v>5614</v>
      </c>
      <c r="N52" s="124">
        <f>6492-919</f>
        <v>5573</v>
      </c>
      <c r="O52" s="195">
        <v>4670</v>
      </c>
      <c r="P52" s="195">
        <v>4692</v>
      </c>
      <c r="Q52" s="101">
        <v>4539</v>
      </c>
      <c r="R52" s="99">
        <v>4415</v>
      </c>
    </row>
    <row r="53" spans="1:18" ht="20.100000000000001" customHeight="1">
      <c r="A53" s="13"/>
      <c r="B53" s="77" t="s">
        <v>109</v>
      </c>
      <c r="C53" s="131">
        <v>0</v>
      </c>
      <c r="D53" s="101">
        <v>0</v>
      </c>
      <c r="E53" s="101">
        <v>0</v>
      </c>
      <c r="F53" s="101">
        <f>14275</f>
        <v>14275</v>
      </c>
      <c r="G53" s="101">
        <f>19959</f>
        <v>19959</v>
      </c>
      <c r="H53" s="99">
        <f>22916</f>
        <v>22916</v>
      </c>
      <c r="I53" s="101">
        <f>14275</f>
        <v>14275</v>
      </c>
      <c r="J53" s="124">
        <f>21831</f>
        <v>21831</v>
      </c>
      <c r="K53" s="124">
        <f>24039</f>
        <v>24039</v>
      </c>
      <c r="L53" s="124">
        <f>22696</f>
        <v>22696</v>
      </c>
      <c r="M53" s="101">
        <f>19959</f>
        <v>19959</v>
      </c>
      <c r="N53" s="124">
        <f>18229</f>
        <v>18229</v>
      </c>
      <c r="O53" s="124">
        <f>22728</f>
        <v>22728</v>
      </c>
      <c r="P53" s="124">
        <f>21892</f>
        <v>21892</v>
      </c>
      <c r="Q53" s="101">
        <v>22916</v>
      </c>
      <c r="R53" s="99">
        <v>20909</v>
      </c>
    </row>
    <row r="54" spans="1:18" ht="20.100000000000001" customHeight="1">
      <c r="A54" s="13"/>
      <c r="B54" s="77" t="s">
        <v>68</v>
      </c>
      <c r="C54" s="131">
        <v>14921</v>
      </c>
      <c r="D54" s="101">
        <v>17414</v>
      </c>
      <c r="E54" s="101">
        <v>21778</v>
      </c>
      <c r="F54" s="101">
        <v>0</v>
      </c>
      <c r="G54" s="101">
        <v>0</v>
      </c>
      <c r="H54" s="99">
        <v>0</v>
      </c>
      <c r="I54" s="101">
        <v>0</v>
      </c>
      <c r="J54" s="124">
        <v>0</v>
      </c>
      <c r="K54" s="124">
        <v>0</v>
      </c>
      <c r="L54" s="124">
        <v>0</v>
      </c>
      <c r="M54" s="101">
        <v>0</v>
      </c>
      <c r="N54" s="124">
        <v>0</v>
      </c>
      <c r="O54" s="124">
        <v>0</v>
      </c>
      <c r="P54" s="124">
        <v>0</v>
      </c>
      <c r="Q54" s="101">
        <v>0</v>
      </c>
      <c r="R54" s="99">
        <v>0</v>
      </c>
    </row>
    <row r="55" spans="1:18" ht="20.100000000000001" customHeight="1" thickBot="1">
      <c r="A55" s="13"/>
      <c r="B55" s="77" t="s">
        <v>110</v>
      </c>
      <c r="C55" s="131">
        <v>0</v>
      </c>
      <c r="D55" s="101">
        <v>0</v>
      </c>
      <c r="E55" s="101">
        <v>0</v>
      </c>
      <c r="F55" s="101">
        <f>14275-14275</f>
        <v>0</v>
      </c>
      <c r="G55" s="101">
        <f>19959-19959</f>
        <v>0</v>
      </c>
      <c r="H55" s="99">
        <f>22916-22916</f>
        <v>0</v>
      </c>
      <c r="I55" s="101">
        <f>14275-14275</f>
        <v>0</v>
      </c>
      <c r="J55" s="124">
        <f>26624-4793-21831</f>
        <v>0</v>
      </c>
      <c r="K55" s="124">
        <f>11242+17792-4995-24039</f>
        <v>0</v>
      </c>
      <c r="L55" s="124">
        <f>11121+16776-5201-22696</f>
        <v>0</v>
      </c>
      <c r="M55" s="101">
        <f>19959-19959</f>
        <v>0</v>
      </c>
      <c r="N55" s="124">
        <f>8998+14849-5618-18229</f>
        <v>0</v>
      </c>
      <c r="O55" s="195">
        <f>22728-22728</f>
        <v>0</v>
      </c>
      <c r="P55" s="195">
        <f>21892-21892</f>
        <v>0</v>
      </c>
      <c r="Q55" s="101">
        <v>0</v>
      </c>
      <c r="R55" s="99">
        <v>0</v>
      </c>
    </row>
    <row r="56" spans="1:18" ht="20.100000000000001" customHeight="1" thickBot="1">
      <c r="A56" s="13"/>
      <c r="B56" s="171"/>
      <c r="C56" s="111">
        <f>SUM(C48:C55)</f>
        <v>34264</v>
      </c>
      <c r="D56" s="102">
        <f t="shared" ref="D56:N56" si="20">SUM(D48:D55)</f>
        <v>33535</v>
      </c>
      <c r="E56" s="102">
        <f t="shared" si="20"/>
        <v>44961</v>
      </c>
      <c r="F56" s="102">
        <f t="shared" si="20"/>
        <v>91325</v>
      </c>
      <c r="G56" s="102">
        <f t="shared" ref="G56" si="21">SUM(G48:G55)</f>
        <v>72849</v>
      </c>
      <c r="H56" s="102">
        <f t="shared" si="20"/>
        <v>76539</v>
      </c>
      <c r="I56" s="245">
        <f t="shared" ref="I56" si="22">SUM(I48:I55)</f>
        <v>91325</v>
      </c>
      <c r="J56" s="248">
        <f t="shared" si="20"/>
        <v>93732</v>
      </c>
      <c r="K56" s="248">
        <f t="shared" si="20"/>
        <v>91305</v>
      </c>
      <c r="L56" s="248">
        <f t="shared" si="20"/>
        <v>68329</v>
      </c>
      <c r="M56" s="246">
        <f t="shared" si="20"/>
        <v>72849</v>
      </c>
      <c r="N56" s="246">
        <f t="shared" si="20"/>
        <v>59355</v>
      </c>
      <c r="O56" s="246">
        <f t="shared" ref="O56:Q56" si="23">SUM(O48:O55)</f>
        <v>73278</v>
      </c>
      <c r="P56" s="246">
        <f t="shared" si="23"/>
        <v>77119</v>
      </c>
      <c r="Q56" s="246">
        <f t="shared" si="23"/>
        <v>76539</v>
      </c>
      <c r="R56" s="249">
        <v>81988</v>
      </c>
    </row>
    <row r="57" spans="1:18" ht="20.100000000000001" customHeight="1">
      <c r="A57" s="13"/>
      <c r="B57" s="77"/>
      <c r="C57" s="38"/>
      <c r="D57" s="32"/>
      <c r="E57" s="32"/>
      <c r="F57" s="32"/>
      <c r="G57" s="121"/>
      <c r="H57" s="122"/>
      <c r="I57" s="32"/>
      <c r="J57" s="230"/>
      <c r="K57" s="221"/>
      <c r="L57" s="221"/>
      <c r="M57" s="121"/>
      <c r="N57" s="118"/>
      <c r="O57" s="118"/>
      <c r="P57" s="118"/>
      <c r="Q57" s="121"/>
      <c r="R57" s="122"/>
    </row>
    <row r="58" spans="1:18" ht="20.100000000000001" customHeight="1">
      <c r="A58" s="12"/>
      <c r="B58" s="76" t="s">
        <v>69</v>
      </c>
      <c r="C58" s="117"/>
      <c r="D58" s="118"/>
      <c r="E58" s="118"/>
      <c r="F58" s="32"/>
      <c r="G58" s="121"/>
      <c r="H58" s="122"/>
      <c r="I58" s="32"/>
      <c r="J58" s="230"/>
      <c r="K58" s="230"/>
      <c r="L58" s="221"/>
      <c r="M58" s="121"/>
      <c r="N58" s="121"/>
      <c r="O58" s="121"/>
      <c r="P58" s="121"/>
      <c r="Q58" s="121"/>
      <c r="R58" s="122"/>
    </row>
    <row r="59" spans="1:18" ht="20.100000000000001" customHeight="1">
      <c r="A59" s="13"/>
      <c r="B59" s="77" t="s">
        <v>70</v>
      </c>
      <c r="C59" s="131">
        <v>36230</v>
      </c>
      <c r="D59" s="101">
        <v>69965</v>
      </c>
      <c r="E59" s="101">
        <v>68553</v>
      </c>
      <c r="F59" s="101">
        <v>16249</v>
      </c>
      <c r="G59" s="101">
        <v>16049</v>
      </c>
      <c r="H59" s="99">
        <v>11018</v>
      </c>
      <c r="I59" s="101">
        <v>16249</v>
      </c>
      <c r="J59" s="124">
        <f>24900</f>
        <v>24900</v>
      </c>
      <c r="K59" s="124">
        <f>17922</f>
        <v>17922</v>
      </c>
      <c r="L59" s="124">
        <f>35468</f>
        <v>35468</v>
      </c>
      <c r="M59" s="101">
        <v>16049</v>
      </c>
      <c r="N59" s="124">
        <f>28911</f>
        <v>28911</v>
      </c>
      <c r="O59" s="231">
        <v>24194</v>
      </c>
      <c r="P59" s="231">
        <v>15682</v>
      </c>
      <c r="Q59" s="101">
        <v>11018</v>
      </c>
      <c r="R59" s="99">
        <v>10692</v>
      </c>
    </row>
    <row r="60" spans="1:18" ht="20.100000000000001" customHeight="1">
      <c r="A60" s="13"/>
      <c r="B60" s="77" t="s">
        <v>86</v>
      </c>
      <c r="C60" s="131">
        <v>55741</v>
      </c>
      <c r="D60" s="101">
        <v>61207</v>
      </c>
      <c r="E60" s="101">
        <v>63642</v>
      </c>
      <c r="F60" s="101">
        <v>64440</v>
      </c>
      <c r="G60" s="101">
        <v>69652</v>
      </c>
      <c r="H60" s="99">
        <v>65109</v>
      </c>
      <c r="I60" s="101">
        <v>64440</v>
      </c>
      <c r="J60" s="124">
        <f>63428-1252-6372</f>
        <v>55804</v>
      </c>
      <c r="K60" s="124">
        <f>75753-1847-10107</f>
        <v>63799</v>
      </c>
      <c r="L60" s="124">
        <f>68850+8797-13658</f>
        <v>63989</v>
      </c>
      <c r="M60" s="101">
        <v>69652</v>
      </c>
      <c r="N60" s="124">
        <f>76856+10880-21574</f>
        <v>66162</v>
      </c>
      <c r="O60" s="231">
        <f>73013+16775-24777</f>
        <v>65011</v>
      </c>
      <c r="P60" s="231">
        <f>60338+22704-24777</f>
        <v>58265</v>
      </c>
      <c r="Q60" s="101">
        <v>65109</v>
      </c>
      <c r="R60" s="99">
        <v>72226</v>
      </c>
    </row>
    <row r="61" spans="1:18" ht="20.100000000000001" customHeight="1">
      <c r="A61" s="13"/>
      <c r="B61" s="77" t="s">
        <v>167</v>
      </c>
      <c r="C61" s="131">
        <v>0</v>
      </c>
      <c r="D61" s="101">
        <v>0</v>
      </c>
      <c r="E61" s="101">
        <v>0</v>
      </c>
      <c r="F61" s="101">
        <v>10821</v>
      </c>
      <c r="G61" s="101">
        <v>5895</v>
      </c>
      <c r="H61" s="99">
        <v>9933</v>
      </c>
      <c r="I61" s="101">
        <v>10821</v>
      </c>
      <c r="J61" s="124">
        <f>1252+6372</f>
        <v>7624</v>
      </c>
      <c r="K61" s="124">
        <f>1847+10107</f>
        <v>11954</v>
      </c>
      <c r="L61" s="124">
        <f>-8797+13658</f>
        <v>4861</v>
      </c>
      <c r="M61" s="101">
        <v>5895</v>
      </c>
      <c r="N61" s="124">
        <f>-10880+21574</f>
        <v>10694</v>
      </c>
      <c r="O61" s="231">
        <f>-16775+24777</f>
        <v>8002</v>
      </c>
      <c r="P61" s="231">
        <f>-22704+24777</f>
        <v>2073</v>
      </c>
      <c r="Q61" s="101">
        <v>9933</v>
      </c>
      <c r="R61" s="99">
        <v>16104</v>
      </c>
    </row>
    <row r="62" spans="1:18" ht="20.100000000000001" customHeight="1">
      <c r="A62" s="13"/>
      <c r="B62" s="77" t="s">
        <v>88</v>
      </c>
      <c r="C62" s="131">
        <v>142</v>
      </c>
      <c r="D62" s="101">
        <v>282</v>
      </c>
      <c r="E62" s="101">
        <v>900</v>
      </c>
      <c r="F62" s="101">
        <v>413</v>
      </c>
      <c r="G62" s="101">
        <v>1255</v>
      </c>
      <c r="H62" s="99">
        <v>660</v>
      </c>
      <c r="I62" s="101">
        <v>413</v>
      </c>
      <c r="J62" s="124">
        <f>1904</f>
        <v>1904</v>
      </c>
      <c r="K62" s="195">
        <f>1529</f>
        <v>1529</v>
      </c>
      <c r="L62" s="124">
        <v>1313</v>
      </c>
      <c r="M62" s="101">
        <v>1255</v>
      </c>
      <c r="N62" s="124">
        <f>1426</f>
        <v>1426</v>
      </c>
      <c r="O62" s="124">
        <v>767</v>
      </c>
      <c r="P62" s="124">
        <v>580</v>
      </c>
      <c r="Q62" s="101">
        <v>660</v>
      </c>
      <c r="R62" s="99">
        <v>663</v>
      </c>
    </row>
    <row r="63" spans="1:18" ht="20.100000000000001" customHeight="1">
      <c r="A63" s="12"/>
      <c r="B63" s="77" t="s">
        <v>87</v>
      </c>
      <c r="C63" s="131">
        <v>0</v>
      </c>
      <c r="D63" s="101">
        <v>4</v>
      </c>
      <c r="E63" s="101">
        <v>12</v>
      </c>
      <c r="F63" s="101">
        <v>17</v>
      </c>
      <c r="G63" s="101">
        <v>52</v>
      </c>
      <c r="H63" s="99">
        <v>35</v>
      </c>
      <c r="I63" s="101">
        <v>17</v>
      </c>
      <c r="J63" s="124">
        <v>7</v>
      </c>
      <c r="K63" s="124">
        <v>43</v>
      </c>
      <c r="L63" s="124">
        <v>8</v>
      </c>
      <c r="M63" s="101">
        <v>52</v>
      </c>
      <c r="N63" s="124">
        <v>7</v>
      </c>
      <c r="O63" s="195">
        <v>7</v>
      </c>
      <c r="P63" s="195">
        <v>90</v>
      </c>
      <c r="Q63" s="101">
        <v>35</v>
      </c>
      <c r="R63" s="99">
        <v>44</v>
      </c>
    </row>
    <row r="64" spans="1:18" ht="20.100000000000001" customHeight="1">
      <c r="A64" s="12"/>
      <c r="B64" s="77" t="s">
        <v>66</v>
      </c>
      <c r="C64" s="131">
        <v>1300</v>
      </c>
      <c r="D64" s="101">
        <v>1255</v>
      </c>
      <c r="E64" s="101">
        <v>2381</v>
      </c>
      <c r="F64" s="101">
        <v>2821</v>
      </c>
      <c r="G64" s="101">
        <v>2627</v>
      </c>
      <c r="H64" s="99">
        <v>3118</v>
      </c>
      <c r="I64" s="101">
        <v>2821</v>
      </c>
      <c r="J64" s="124">
        <f>1476+1208</f>
        <v>2684</v>
      </c>
      <c r="K64" s="124">
        <f>1605+1208</f>
        <v>2813</v>
      </c>
      <c r="L64" s="124">
        <f>1468+1208</f>
        <v>2676</v>
      </c>
      <c r="M64" s="101">
        <v>2627</v>
      </c>
      <c r="N64" s="124">
        <f>2490+1024</f>
        <v>3514</v>
      </c>
      <c r="O64" s="195">
        <f>2468+1024</f>
        <v>3492</v>
      </c>
      <c r="P64" s="195">
        <f>2137+1024</f>
        <v>3161</v>
      </c>
      <c r="Q64" s="101">
        <v>3118</v>
      </c>
      <c r="R64" s="99">
        <v>2559</v>
      </c>
    </row>
    <row r="65" spans="1:18" ht="20.100000000000001" customHeight="1">
      <c r="A65" s="12"/>
      <c r="B65" s="77" t="s">
        <v>67</v>
      </c>
      <c r="C65" s="131">
        <v>630</v>
      </c>
      <c r="D65" s="101">
        <v>871</v>
      </c>
      <c r="E65" s="101">
        <v>634</v>
      </c>
      <c r="F65" s="101">
        <v>634</v>
      </c>
      <c r="G65" s="101">
        <v>636</v>
      </c>
      <c r="H65" s="99">
        <v>1230</v>
      </c>
      <c r="I65" s="101">
        <v>634</v>
      </c>
      <c r="J65" s="124">
        <v>778</v>
      </c>
      <c r="K65" s="124">
        <v>634</v>
      </c>
      <c r="L65" s="124">
        <v>792</v>
      </c>
      <c r="M65" s="101">
        <v>636</v>
      </c>
      <c r="N65" s="124">
        <v>636</v>
      </c>
      <c r="O65" s="195">
        <v>1232</v>
      </c>
      <c r="P65" s="195">
        <v>1382</v>
      </c>
      <c r="Q65" s="101">
        <v>1230</v>
      </c>
      <c r="R65" s="99">
        <v>1230</v>
      </c>
    </row>
    <row r="66" spans="1:18" ht="20.100000000000001" customHeight="1">
      <c r="A66" s="12"/>
      <c r="B66" s="77" t="s">
        <v>109</v>
      </c>
      <c r="C66" s="131">
        <v>0</v>
      </c>
      <c r="D66" s="101">
        <v>0</v>
      </c>
      <c r="E66" s="101">
        <v>0</v>
      </c>
      <c r="F66" s="101">
        <v>4434</v>
      </c>
      <c r="G66" s="101">
        <v>6548</v>
      </c>
      <c r="H66" s="99">
        <v>7821</v>
      </c>
      <c r="I66" s="101">
        <f>4434</f>
        <v>4434</v>
      </c>
      <c r="J66" s="124">
        <f>6628</f>
        <v>6628</v>
      </c>
      <c r="K66" s="124">
        <f>6406</f>
        <v>6406</v>
      </c>
      <c r="L66" s="124">
        <f>6270</f>
        <v>6270</v>
      </c>
      <c r="M66" s="101">
        <f>6548</f>
        <v>6548</v>
      </c>
      <c r="N66" s="124">
        <f>6641</f>
        <v>6641</v>
      </c>
      <c r="O66" s="195">
        <f>6830</f>
        <v>6830</v>
      </c>
      <c r="P66" s="195">
        <f>6206</f>
        <v>6206</v>
      </c>
      <c r="Q66" s="101">
        <v>7821</v>
      </c>
      <c r="R66" s="99">
        <v>7413</v>
      </c>
    </row>
    <row r="67" spans="1:18" ht="20.100000000000001" customHeight="1">
      <c r="A67" s="7"/>
      <c r="B67" s="77" t="s">
        <v>68</v>
      </c>
      <c r="C67" s="131">
        <v>2873</v>
      </c>
      <c r="D67" s="101">
        <v>2912</v>
      </c>
      <c r="E67" s="101">
        <v>4113</v>
      </c>
      <c r="F67" s="101">
        <v>0</v>
      </c>
      <c r="G67" s="101">
        <v>0</v>
      </c>
      <c r="H67" s="99">
        <v>0</v>
      </c>
      <c r="I67" s="101">
        <v>0</v>
      </c>
      <c r="J67" s="124">
        <v>0</v>
      </c>
      <c r="K67" s="124">
        <v>0</v>
      </c>
      <c r="L67" s="124">
        <v>0</v>
      </c>
      <c r="M67" s="101">
        <v>0</v>
      </c>
      <c r="N67" s="124">
        <v>0</v>
      </c>
      <c r="O67" s="195">
        <v>0</v>
      </c>
      <c r="P67" s="195">
        <v>0</v>
      </c>
      <c r="Q67" s="101">
        <v>0</v>
      </c>
      <c r="R67" s="99">
        <v>0</v>
      </c>
    </row>
    <row r="68" spans="1:18" ht="20.100000000000001" customHeight="1" thickBot="1">
      <c r="A68" s="7"/>
      <c r="B68" s="77" t="s">
        <v>110</v>
      </c>
      <c r="C68" s="131">
        <v>0</v>
      </c>
      <c r="D68" s="101">
        <v>0</v>
      </c>
      <c r="E68" s="101">
        <v>0</v>
      </c>
      <c r="F68" s="101">
        <v>0</v>
      </c>
      <c r="G68" s="101">
        <v>0</v>
      </c>
      <c r="H68" s="99">
        <v>0</v>
      </c>
      <c r="I68" s="101">
        <f>4434-4434</f>
        <v>0</v>
      </c>
      <c r="J68" s="124">
        <f>6628-6628</f>
        <v>0</v>
      </c>
      <c r="K68" s="124">
        <f>2008+4398-6406</f>
        <v>0</v>
      </c>
      <c r="L68" s="140">
        <f>1950+4320-6270</f>
        <v>0</v>
      </c>
      <c r="M68" s="101">
        <f>6548-6548</f>
        <v>0</v>
      </c>
      <c r="N68" s="124">
        <f>2346+4295-6641</f>
        <v>0</v>
      </c>
      <c r="O68" s="124">
        <f>6830-6830</f>
        <v>0</v>
      </c>
      <c r="P68" s="124">
        <f>6206-6206</f>
        <v>0</v>
      </c>
      <c r="Q68" s="101">
        <v>0</v>
      </c>
      <c r="R68" s="99">
        <v>0</v>
      </c>
    </row>
    <row r="69" spans="1:18" ht="20.100000000000001" customHeight="1" thickBot="1">
      <c r="A69" s="7"/>
      <c r="B69" s="44"/>
      <c r="C69" s="111">
        <f>SUM(C59:C68)</f>
        <v>96916</v>
      </c>
      <c r="D69" s="102">
        <f t="shared" ref="D69:N69" si="24">SUM(D59:D68)</f>
        <v>136496</v>
      </c>
      <c r="E69" s="102">
        <f t="shared" si="24"/>
        <v>140235</v>
      </c>
      <c r="F69" s="102">
        <f t="shared" si="24"/>
        <v>99829</v>
      </c>
      <c r="G69" s="102">
        <f t="shared" ref="G69" si="25">SUM(G59:G68)</f>
        <v>102714</v>
      </c>
      <c r="H69" s="102">
        <f t="shared" si="24"/>
        <v>98924</v>
      </c>
      <c r="I69" s="245">
        <f t="shared" ref="I69" si="26">SUM(I59:I68)</f>
        <v>99829</v>
      </c>
      <c r="J69" s="248">
        <f t="shared" si="24"/>
        <v>100329</v>
      </c>
      <c r="K69" s="248">
        <f t="shared" si="24"/>
        <v>105100</v>
      </c>
      <c r="L69" s="248">
        <f t="shared" si="24"/>
        <v>115377</v>
      </c>
      <c r="M69" s="246">
        <f t="shared" si="24"/>
        <v>102714</v>
      </c>
      <c r="N69" s="246">
        <f t="shared" si="24"/>
        <v>117991</v>
      </c>
      <c r="O69" s="246">
        <f t="shared" ref="O69:Q69" si="27">SUM(O59:O68)</f>
        <v>109535</v>
      </c>
      <c r="P69" s="246">
        <f t="shared" si="27"/>
        <v>87439</v>
      </c>
      <c r="Q69" s="246">
        <f t="shared" si="27"/>
        <v>98924</v>
      </c>
      <c r="R69" s="249">
        <v>110931</v>
      </c>
    </row>
    <row r="70" spans="1:18" ht="20.100000000000001" customHeight="1" thickBot="1">
      <c r="A70" s="7"/>
      <c r="B70" s="79"/>
      <c r="C70" s="38"/>
      <c r="D70" s="32"/>
      <c r="E70" s="31"/>
      <c r="F70" s="32"/>
      <c r="G70" s="127"/>
      <c r="H70" s="125"/>
      <c r="I70" s="32"/>
      <c r="J70" s="126"/>
      <c r="K70" s="230"/>
      <c r="L70" s="127"/>
      <c r="M70" s="127"/>
      <c r="N70" s="121"/>
      <c r="O70" s="121"/>
      <c r="P70" s="121"/>
      <c r="Q70" s="127"/>
      <c r="R70" s="125"/>
    </row>
    <row r="71" spans="1:18" ht="20.100000000000001" customHeight="1" thickBot="1">
      <c r="A71" s="7"/>
      <c r="B71" s="172" t="s">
        <v>89</v>
      </c>
      <c r="C71" s="111">
        <f>SUM(C69+C56+C45)</f>
        <v>254616</v>
      </c>
      <c r="D71" s="102">
        <f t="shared" ref="D71:N71" si="28">SUM(D69+D56+D45)</f>
        <v>285603</v>
      </c>
      <c r="E71" s="102">
        <f t="shared" si="28"/>
        <v>316274</v>
      </c>
      <c r="F71" s="102">
        <f t="shared" si="28"/>
        <v>314948</v>
      </c>
      <c r="G71" s="102">
        <f t="shared" ref="G71" si="29">SUM(G69+G56+G45)</f>
        <v>321890</v>
      </c>
      <c r="H71" s="102">
        <f t="shared" si="28"/>
        <v>346806</v>
      </c>
      <c r="I71" s="245">
        <f t="shared" ref="I71" si="30">SUM(I69+I56+I45)</f>
        <v>314948</v>
      </c>
      <c r="J71" s="246">
        <f t="shared" si="28"/>
        <v>321721</v>
      </c>
      <c r="K71" s="246">
        <f t="shared" si="28"/>
        <v>330052</v>
      </c>
      <c r="L71" s="246">
        <f t="shared" si="28"/>
        <v>324927</v>
      </c>
      <c r="M71" s="246">
        <f t="shared" si="28"/>
        <v>321890</v>
      </c>
      <c r="N71" s="246">
        <f t="shared" si="28"/>
        <v>329409</v>
      </c>
      <c r="O71" s="246">
        <f t="shared" ref="O71:Q71" si="31">SUM(O69+O56+O45)</f>
        <v>338660</v>
      </c>
      <c r="P71" s="246">
        <f t="shared" si="31"/>
        <v>331036</v>
      </c>
      <c r="Q71" s="246">
        <f t="shared" si="31"/>
        <v>346806</v>
      </c>
      <c r="R71" s="249">
        <v>370555</v>
      </c>
    </row>
    <row r="72" spans="1:18"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</row>
    <row r="73" spans="1:18"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</row>
  </sheetData>
  <mergeCells count="4">
    <mergeCell ref="B5:B6"/>
    <mergeCell ref="C5:H5"/>
    <mergeCell ref="F1:J1"/>
    <mergeCell ref="I5:R5"/>
  </mergeCells>
  <pageMargins left="0.70866141732283472" right="0.70866141732283472" top="0.74803149606299213" bottom="0.74803149606299213" header="0.31496062992125984" footer="0.31496062992125984"/>
  <pageSetup paperSize="8" scale="64" orientation="portrait" r:id="rId1"/>
  <rowBreaks count="1" manualBreakCount="1">
    <brk id="71" max="16383" man="1"/>
  </rowBreaks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zoomScale="120" zoomScaleNormal="120" workbookViewId="0">
      <pane xSplit="2" ySplit="5" topLeftCell="E45" activePane="bottomRight" state="frozen"/>
      <selection pane="topRight" activeCell="C1" sqref="C1"/>
      <selection pane="bottomLeft" activeCell="A5" sqref="A5"/>
      <selection pane="bottomRight" activeCell="S11" sqref="S11"/>
    </sheetView>
  </sheetViews>
  <sheetFormatPr defaultColWidth="9" defaultRowHeight="14.25"/>
  <cols>
    <col min="1" max="1" width="3.5" style="10" customWidth="1"/>
    <col min="2" max="2" width="31.5" style="10" customWidth="1"/>
    <col min="3" max="16" width="10.625" style="10" customWidth="1"/>
    <col min="17" max="17" width="11.125" style="10" customWidth="1"/>
    <col min="18" max="18" width="11.5" style="10" customWidth="1"/>
    <col min="19" max="16384" width="9" style="10"/>
  </cols>
  <sheetData>
    <row r="1" spans="1:18" ht="57" customHeight="1">
      <c r="A1" s="7"/>
      <c r="B1" s="17"/>
      <c r="C1" s="18"/>
      <c r="D1" s="18"/>
      <c r="E1" s="18"/>
      <c r="F1" s="27" t="s">
        <v>2</v>
      </c>
      <c r="G1" s="27"/>
      <c r="H1" s="27"/>
      <c r="I1" s="27"/>
      <c r="J1" s="18"/>
      <c r="K1" s="18"/>
      <c r="L1" s="18"/>
      <c r="M1" s="18"/>
      <c r="N1" s="18"/>
      <c r="O1" s="18"/>
      <c r="P1" s="18"/>
      <c r="Q1" s="18"/>
      <c r="R1" s="18"/>
    </row>
    <row r="2" spans="1:18" ht="21" customHeight="1">
      <c r="A2" s="7"/>
      <c r="B2" s="11"/>
      <c r="C2" s="7"/>
      <c r="D2" s="7"/>
      <c r="E2" s="7"/>
      <c r="F2" s="24"/>
      <c r="G2" s="24"/>
      <c r="H2" s="24"/>
      <c r="I2" s="24"/>
      <c r="J2" s="7"/>
      <c r="K2" s="7"/>
      <c r="L2" s="7"/>
      <c r="M2" s="7"/>
      <c r="N2" s="7"/>
      <c r="O2" s="7"/>
      <c r="P2" s="7"/>
      <c r="Q2" s="7"/>
      <c r="R2" s="7"/>
    </row>
    <row r="3" spans="1:18" ht="15" customHeight="1" thickBot="1">
      <c r="A3" s="7"/>
      <c r="B3" s="28"/>
      <c r="C3" s="7"/>
      <c r="D3" s="319"/>
      <c r="E3" s="319"/>
      <c r="F3" s="319"/>
      <c r="G3" s="319"/>
      <c r="H3" s="319"/>
      <c r="I3" s="24"/>
      <c r="J3" s="7"/>
      <c r="K3" s="7"/>
      <c r="L3" s="7"/>
      <c r="M3" s="7"/>
      <c r="N3" s="7"/>
      <c r="O3" s="7"/>
      <c r="P3" s="7"/>
      <c r="Q3" s="7"/>
      <c r="R3" s="7"/>
    </row>
    <row r="4" spans="1:18" ht="21" customHeight="1" thickBot="1">
      <c r="A4" s="7"/>
      <c r="B4" s="317" t="s">
        <v>11</v>
      </c>
      <c r="C4" s="314" t="s">
        <v>10</v>
      </c>
      <c r="D4" s="315"/>
      <c r="E4" s="315"/>
      <c r="F4" s="315"/>
      <c r="G4" s="315"/>
      <c r="H4" s="316"/>
      <c r="I4" s="320" t="s">
        <v>4</v>
      </c>
      <c r="J4" s="321"/>
      <c r="K4" s="321"/>
      <c r="L4" s="321"/>
      <c r="M4" s="321"/>
      <c r="N4" s="321"/>
      <c r="O4" s="321"/>
      <c r="P4" s="321"/>
      <c r="Q4" s="321"/>
      <c r="R4" s="321"/>
    </row>
    <row r="5" spans="1:18" ht="24.95" customHeight="1" thickBot="1">
      <c r="A5" s="7"/>
      <c r="B5" s="318"/>
      <c r="C5" s="159" t="s">
        <v>9</v>
      </c>
      <c r="D5" s="160" t="s">
        <v>8</v>
      </c>
      <c r="E5" s="160" t="s">
        <v>7</v>
      </c>
      <c r="F5" s="160" t="s">
        <v>129</v>
      </c>
      <c r="G5" s="208" t="s">
        <v>128</v>
      </c>
      <c r="H5" s="237" t="s">
        <v>161</v>
      </c>
      <c r="I5" s="258" t="s">
        <v>138</v>
      </c>
      <c r="J5" s="259" t="s">
        <v>141</v>
      </c>
      <c r="K5" s="259" t="s">
        <v>140</v>
      </c>
      <c r="L5" s="259" t="s">
        <v>139</v>
      </c>
      <c r="M5" s="259" t="s">
        <v>152</v>
      </c>
      <c r="N5" s="259" t="s">
        <v>137</v>
      </c>
      <c r="O5" s="259" t="s">
        <v>136</v>
      </c>
      <c r="P5" s="259" t="s">
        <v>148</v>
      </c>
      <c r="Q5" s="259" t="s">
        <v>170</v>
      </c>
      <c r="R5" s="260" t="s">
        <v>174</v>
      </c>
    </row>
    <row r="6" spans="1:18" ht="20.100000000000001" customHeight="1">
      <c r="A6" s="7"/>
      <c r="B6" s="65" t="s">
        <v>13</v>
      </c>
      <c r="C6" s="47"/>
      <c r="D6" s="23"/>
      <c r="E6" s="23"/>
      <c r="F6" s="23"/>
      <c r="G6" s="23"/>
      <c r="H6" s="23"/>
      <c r="I6" s="261"/>
      <c r="J6" s="23"/>
      <c r="K6" s="23"/>
      <c r="L6" s="23"/>
      <c r="M6" s="50"/>
      <c r="N6" s="217"/>
      <c r="O6" s="217"/>
      <c r="P6" s="217"/>
      <c r="Q6" s="257"/>
      <c r="R6" s="262"/>
    </row>
    <row r="7" spans="1:18" ht="20.100000000000001" customHeight="1">
      <c r="A7" s="15"/>
      <c r="B7" s="66" t="s">
        <v>14</v>
      </c>
      <c r="C7" s="131">
        <v>231725</v>
      </c>
      <c r="D7" s="101">
        <v>269498</v>
      </c>
      <c r="E7" s="101">
        <v>318467</v>
      </c>
      <c r="F7" s="101">
        <v>370919</v>
      </c>
      <c r="G7" s="101">
        <f>396066</f>
        <v>396066</v>
      </c>
      <c r="H7" s="101">
        <v>386186</v>
      </c>
      <c r="I7" s="263">
        <f>370919-278375</f>
        <v>92544</v>
      </c>
      <c r="J7" s="124">
        <f>190999-K7</f>
        <v>87305</v>
      </c>
      <c r="K7" s="124">
        <v>103694</v>
      </c>
      <c r="L7" s="124">
        <v>103444</v>
      </c>
      <c r="M7" s="124">
        <f>G7-SUM(J7:L7)</f>
        <v>101623</v>
      </c>
      <c r="N7" s="124">
        <v>92106</v>
      </c>
      <c r="O7" s="124">
        <v>104356</v>
      </c>
      <c r="P7" s="195">
        <v>96862</v>
      </c>
      <c r="Q7" s="101">
        <f>H7-SUM(N7:P7)</f>
        <v>92862</v>
      </c>
      <c r="R7" s="264">
        <v>104847</v>
      </c>
    </row>
    <row r="8" spans="1:18" ht="20.100000000000001" customHeight="1" thickBot="1">
      <c r="A8" s="7"/>
      <c r="B8" s="66" t="s">
        <v>15</v>
      </c>
      <c r="C8" s="131">
        <v>168032</v>
      </c>
      <c r="D8" s="101">
        <v>200904</v>
      </c>
      <c r="E8" s="101">
        <v>241905</v>
      </c>
      <c r="F8" s="101">
        <v>276549</v>
      </c>
      <c r="G8" s="101">
        <v>292560</v>
      </c>
      <c r="H8" s="101">
        <v>280973</v>
      </c>
      <c r="I8" s="263">
        <f>276549-206645</f>
        <v>69904</v>
      </c>
      <c r="J8" s="124">
        <f>139546+5-K8-440+261+876+52</f>
        <v>64047</v>
      </c>
      <c r="K8" s="124">
        <f>75215+13-5+876+731-577</f>
        <v>76253</v>
      </c>
      <c r="L8" s="124">
        <f>76650+876-195+161</f>
        <v>77492</v>
      </c>
      <c r="M8" s="124">
        <f>G8-SUM(J8:L8)</f>
        <v>74768</v>
      </c>
      <c r="N8" s="124">
        <f>65170-1050+1121+890</f>
        <v>66131</v>
      </c>
      <c r="O8" s="124">
        <f>74627-1449+320+890</f>
        <v>74388</v>
      </c>
      <c r="P8" s="195">
        <f>69437-560+291+890</f>
        <v>70058</v>
      </c>
      <c r="Q8" s="101">
        <f>H8-SUM(N8:P8)</f>
        <v>70396</v>
      </c>
      <c r="R8" s="264">
        <v>78790</v>
      </c>
    </row>
    <row r="9" spans="1:18" ht="20.100000000000001" customHeight="1" thickBot="1">
      <c r="A9" s="7"/>
      <c r="B9" s="65" t="s">
        <v>16</v>
      </c>
      <c r="C9" s="173">
        <f t="shared" ref="C9" si="0">C7-C8</f>
        <v>63693</v>
      </c>
      <c r="D9" s="218">
        <f t="shared" ref="D9" si="1">D7-D8</f>
        <v>68594</v>
      </c>
      <c r="E9" s="218">
        <f t="shared" ref="E9" si="2">E7-E8</f>
        <v>76562</v>
      </c>
      <c r="F9" s="218">
        <f t="shared" ref="F9" si="3">F7-F8</f>
        <v>94370</v>
      </c>
      <c r="G9" s="218">
        <f t="shared" ref="G9:H9" si="4">G7-G8</f>
        <v>103506</v>
      </c>
      <c r="H9" s="218">
        <f t="shared" si="4"/>
        <v>105213</v>
      </c>
      <c r="I9" s="283">
        <f t="shared" ref="I9:K9" si="5">I7-I8</f>
        <v>22640</v>
      </c>
      <c r="J9" s="284">
        <f t="shared" si="5"/>
        <v>23258</v>
      </c>
      <c r="K9" s="284">
        <f t="shared" si="5"/>
        <v>27441</v>
      </c>
      <c r="L9" s="284">
        <f>L7-L8</f>
        <v>25952</v>
      </c>
      <c r="M9" s="284">
        <f t="shared" ref="M9:Q9" si="6">M7-M8</f>
        <v>26855</v>
      </c>
      <c r="N9" s="284">
        <f t="shared" si="6"/>
        <v>25975</v>
      </c>
      <c r="O9" s="284">
        <f t="shared" si="6"/>
        <v>29968</v>
      </c>
      <c r="P9" s="284">
        <f t="shared" ref="P9" si="7">P7-P8</f>
        <v>26804</v>
      </c>
      <c r="Q9" s="284">
        <f t="shared" si="6"/>
        <v>22466</v>
      </c>
      <c r="R9" s="285">
        <v>26057</v>
      </c>
    </row>
    <row r="10" spans="1:18" ht="20.100000000000001" customHeight="1">
      <c r="A10" s="7"/>
      <c r="B10" s="67"/>
      <c r="C10" s="42"/>
      <c r="D10" s="32"/>
      <c r="E10" s="32"/>
      <c r="F10" s="32"/>
      <c r="G10" s="32"/>
      <c r="H10" s="32"/>
      <c r="I10" s="265"/>
      <c r="J10" s="118"/>
      <c r="K10" s="80"/>
      <c r="L10" s="80"/>
      <c r="M10" s="80"/>
      <c r="N10" s="118"/>
      <c r="O10" s="118"/>
      <c r="P10" s="178"/>
      <c r="Q10" s="178"/>
      <c r="R10" s="266"/>
    </row>
    <row r="11" spans="1:18" ht="20.100000000000001" customHeight="1">
      <c r="A11" s="7"/>
      <c r="B11" s="66" t="s">
        <v>17</v>
      </c>
      <c r="C11" s="131">
        <v>3588</v>
      </c>
      <c r="D11" s="101">
        <v>3488</v>
      </c>
      <c r="E11" s="101">
        <v>4773</v>
      </c>
      <c r="F11" s="101">
        <v>2546</v>
      </c>
      <c r="G11" s="101">
        <v>3256</v>
      </c>
      <c r="H11" s="101">
        <v>2197</v>
      </c>
      <c r="I11" s="263">
        <f>2546+343-1884</f>
        <v>1005</v>
      </c>
      <c r="J11" s="124">
        <f>2673-K11-69-440</f>
        <v>1105</v>
      </c>
      <c r="K11" s="124">
        <f>1991+6-361-577</f>
        <v>1059</v>
      </c>
      <c r="L11" s="124">
        <f>634+21-91-195</f>
        <v>369</v>
      </c>
      <c r="M11" s="124">
        <f>G11-SUM(J11:L11)</f>
        <v>723</v>
      </c>
      <c r="N11" s="124">
        <f>1294-65-1050</f>
        <v>179</v>
      </c>
      <c r="O11" s="124">
        <f>2189+141-103-1-190-1449</f>
        <v>587</v>
      </c>
      <c r="P11" s="195">
        <f>1094+1-209-560</f>
        <v>326</v>
      </c>
      <c r="Q11" s="101">
        <f>H11-SUM(N11:P11)</f>
        <v>1105</v>
      </c>
      <c r="R11" s="264">
        <v>1221</v>
      </c>
    </row>
    <row r="12" spans="1:18" ht="20.100000000000001" customHeight="1">
      <c r="A12" s="7"/>
      <c r="B12" s="66" t="s">
        <v>18</v>
      </c>
      <c r="C12" s="131">
        <v>28593</v>
      </c>
      <c r="D12" s="101">
        <v>36596</v>
      </c>
      <c r="E12" s="101">
        <v>36127</v>
      </c>
      <c r="F12" s="101">
        <v>40257</v>
      </c>
      <c r="G12" s="101">
        <v>40760</v>
      </c>
      <c r="H12" s="101">
        <v>37204</v>
      </c>
      <c r="I12" s="263">
        <f>40257+2101-29306</f>
        <v>13052</v>
      </c>
      <c r="J12" s="124">
        <f>21397+5-K12-876</f>
        <v>9684</v>
      </c>
      <c r="K12" s="124">
        <f>11714+4-876</f>
        <v>10842</v>
      </c>
      <c r="L12" s="124">
        <f>10457+15-876</f>
        <v>9596</v>
      </c>
      <c r="M12" s="124">
        <f>G12-SUM(J12:L12)</f>
        <v>10638</v>
      </c>
      <c r="N12" s="124">
        <f>9433-890</f>
        <v>8543</v>
      </c>
      <c r="O12" s="124">
        <f>9616+3-890</f>
        <v>8729</v>
      </c>
      <c r="P12" s="195">
        <f>9782+10-890</f>
        <v>8902</v>
      </c>
      <c r="Q12" s="101">
        <f>H12-SUM(N12:P12)</f>
        <v>11030</v>
      </c>
      <c r="R12" s="264">
        <v>9238</v>
      </c>
    </row>
    <row r="13" spans="1:18" ht="20.100000000000001" customHeight="1">
      <c r="A13" s="15"/>
      <c r="B13" s="66" t="s">
        <v>19</v>
      </c>
      <c r="C13" s="131">
        <v>23765</v>
      </c>
      <c r="D13" s="101">
        <v>18119</v>
      </c>
      <c r="E13" s="101">
        <v>21571</v>
      </c>
      <c r="F13" s="101">
        <v>23981</v>
      </c>
      <c r="G13" s="101">
        <v>27459</v>
      </c>
      <c r="H13" s="101">
        <v>26853</v>
      </c>
      <c r="I13" s="263">
        <f>23981-16855</f>
        <v>7126</v>
      </c>
      <c r="J13" s="124">
        <f>13202-K13</f>
        <v>6003</v>
      </c>
      <c r="K13" s="124">
        <v>7199</v>
      </c>
      <c r="L13" s="124">
        <v>6537</v>
      </c>
      <c r="M13" s="124">
        <f>G13-SUM(J13:L13)</f>
        <v>7720</v>
      </c>
      <c r="N13" s="124">
        <v>6320</v>
      </c>
      <c r="O13" s="124">
        <v>6588</v>
      </c>
      <c r="P13" s="195">
        <f>6923</f>
        <v>6923</v>
      </c>
      <c r="Q13" s="101">
        <f>H13-SUM(N13:P13)</f>
        <v>7022</v>
      </c>
      <c r="R13" s="264">
        <v>6800</v>
      </c>
    </row>
    <row r="14" spans="1:18" ht="20.100000000000001" customHeight="1">
      <c r="A14" s="7"/>
      <c r="B14" s="66" t="s">
        <v>20</v>
      </c>
      <c r="C14" s="131">
        <v>2823</v>
      </c>
      <c r="D14" s="101">
        <v>6316</v>
      </c>
      <c r="E14" s="101">
        <v>5322</v>
      </c>
      <c r="F14" s="101">
        <v>7727</v>
      </c>
      <c r="G14" s="101">
        <v>2051</v>
      </c>
      <c r="H14" s="101">
        <v>3733</v>
      </c>
      <c r="I14" s="263">
        <f>7727+2041-3360</f>
        <v>6408</v>
      </c>
      <c r="J14" s="124">
        <f>2224+79-K14-407-261</f>
        <v>1224</v>
      </c>
      <c r="K14" s="124">
        <f>1457+20-335-731</f>
        <v>411</v>
      </c>
      <c r="L14" s="124">
        <f>617+9-300-161</f>
        <v>165</v>
      </c>
      <c r="M14" s="124">
        <f>G14-SUM(J14:L14)</f>
        <v>251</v>
      </c>
      <c r="N14" s="124">
        <f>1751-126-1121</f>
        <v>504</v>
      </c>
      <c r="O14" s="124">
        <f>2774-2+1-601-320</f>
        <v>1852</v>
      </c>
      <c r="P14" s="195">
        <f>895+1-35-291</f>
        <v>570</v>
      </c>
      <c r="Q14" s="101">
        <f>H14-SUM(N14:P14)</f>
        <v>807</v>
      </c>
      <c r="R14" s="264">
        <v>186</v>
      </c>
    </row>
    <row r="15" spans="1:18" ht="20.100000000000001" customHeight="1" thickBot="1">
      <c r="A15" s="7"/>
      <c r="B15" s="66" t="s">
        <v>169</v>
      </c>
      <c r="C15" s="101">
        <v>0</v>
      </c>
      <c r="D15" s="101">
        <v>0</v>
      </c>
      <c r="E15" s="101">
        <v>0</v>
      </c>
      <c r="F15" s="101">
        <v>0</v>
      </c>
      <c r="G15" s="101">
        <v>-2931</v>
      </c>
      <c r="H15" s="101">
        <v>-1653</v>
      </c>
      <c r="I15" s="263">
        <v>0</v>
      </c>
      <c r="J15" s="124">
        <f>69-407</f>
        <v>-338</v>
      </c>
      <c r="K15" s="124">
        <f>361-335</f>
        <v>26</v>
      </c>
      <c r="L15" s="124">
        <f>91-300</f>
        <v>-209</v>
      </c>
      <c r="M15" s="101">
        <f>G15-SUM(J15:L15)</f>
        <v>-2410</v>
      </c>
      <c r="N15" s="124">
        <f>65-126</f>
        <v>-61</v>
      </c>
      <c r="O15" s="124">
        <f>190-601</f>
        <v>-411</v>
      </c>
      <c r="P15" s="195">
        <f>209-35</f>
        <v>174</v>
      </c>
      <c r="Q15" s="101">
        <f>H15-SUM(N15:P15)</f>
        <v>-1355</v>
      </c>
      <c r="R15" s="264">
        <v>85</v>
      </c>
    </row>
    <row r="16" spans="1:18" ht="20.100000000000001" customHeight="1" thickBot="1">
      <c r="A16" s="7"/>
      <c r="B16" s="65" t="s">
        <v>21</v>
      </c>
      <c r="C16" s="173">
        <f>C9+C11-C12-C13-C14</f>
        <v>12100</v>
      </c>
      <c r="D16" s="218">
        <f>D9+D11-D12-D13-D14</f>
        <v>11051</v>
      </c>
      <c r="E16" s="218">
        <f>E9+E11-E12-E13-E14</f>
        <v>18315</v>
      </c>
      <c r="F16" s="218">
        <f>F9+F11-F12-F13-F14</f>
        <v>24951</v>
      </c>
      <c r="G16" s="218">
        <f>G9+G11-G12-G13-G14+G15</f>
        <v>33561</v>
      </c>
      <c r="H16" s="218">
        <f>H9+H11-H12-H13-H14+H15</f>
        <v>37967</v>
      </c>
      <c r="I16" s="283">
        <f>I9+I11-I12-I13-I14</f>
        <v>-2941</v>
      </c>
      <c r="J16" s="284">
        <f>J9+J11-J12-J13-J14+J15</f>
        <v>7114</v>
      </c>
      <c r="K16" s="284">
        <f t="shared" ref="K16:Q16" si="8">K9+K11-K12-K13-K14+K15</f>
        <v>10074</v>
      </c>
      <c r="L16" s="284">
        <f t="shared" si="8"/>
        <v>9814</v>
      </c>
      <c r="M16" s="284">
        <f t="shared" si="8"/>
        <v>6559</v>
      </c>
      <c r="N16" s="284">
        <f t="shared" si="8"/>
        <v>10726</v>
      </c>
      <c r="O16" s="284">
        <f t="shared" si="8"/>
        <v>12975</v>
      </c>
      <c r="P16" s="284">
        <f t="shared" si="8"/>
        <v>10909</v>
      </c>
      <c r="Q16" s="284">
        <f t="shared" si="8"/>
        <v>3357</v>
      </c>
      <c r="R16" s="285">
        <v>11139</v>
      </c>
    </row>
    <row r="17" spans="1:18" ht="20.100000000000001" customHeight="1">
      <c r="A17" s="7"/>
      <c r="B17" s="67"/>
      <c r="C17" s="42"/>
      <c r="D17" s="32"/>
      <c r="E17" s="32"/>
      <c r="F17" s="32"/>
      <c r="G17" s="32"/>
      <c r="H17" s="32"/>
      <c r="I17" s="265"/>
      <c r="J17" s="118"/>
      <c r="K17" s="80"/>
      <c r="L17" s="80"/>
      <c r="M17" s="80"/>
      <c r="N17" s="118"/>
      <c r="O17" s="118"/>
      <c r="P17" s="178"/>
      <c r="Q17" s="178"/>
      <c r="R17" s="266"/>
    </row>
    <row r="18" spans="1:18" ht="20.100000000000001" customHeight="1">
      <c r="A18" s="15"/>
      <c r="B18" s="66" t="s">
        <v>22</v>
      </c>
      <c r="C18" s="132">
        <v>2044</v>
      </c>
      <c r="D18" s="101">
        <v>2682</v>
      </c>
      <c r="E18" s="101">
        <v>2864</v>
      </c>
      <c r="F18" s="101">
        <v>1003</v>
      </c>
      <c r="G18" s="101">
        <v>1486</v>
      </c>
      <c r="H18" s="101">
        <v>589</v>
      </c>
      <c r="I18" s="263">
        <f>1003-823</f>
        <v>180</v>
      </c>
      <c r="J18" s="124">
        <f>1050-157-K18-147</f>
        <v>353</v>
      </c>
      <c r="K18" s="124">
        <f>540-147</f>
        <v>393</v>
      </c>
      <c r="L18" s="124">
        <f>266-104</f>
        <v>162</v>
      </c>
      <c r="M18" s="124">
        <f>G18-SUM(J18:L18)</f>
        <v>578</v>
      </c>
      <c r="N18" s="124">
        <f>828-301</f>
        <v>527</v>
      </c>
      <c r="O18" s="124">
        <f>-25-155</f>
        <v>-180</v>
      </c>
      <c r="P18" s="195">
        <f>159-158</f>
        <v>1</v>
      </c>
      <c r="Q18" s="101">
        <f>H18-SUM(N18:P18)</f>
        <v>241</v>
      </c>
      <c r="R18" s="264">
        <v>118</v>
      </c>
    </row>
    <row r="19" spans="1:18" ht="20.100000000000001" customHeight="1" thickBot="1">
      <c r="A19" s="7"/>
      <c r="B19" s="66" t="s">
        <v>23</v>
      </c>
      <c r="C19" s="131">
        <v>3988</v>
      </c>
      <c r="D19" s="101">
        <v>4530</v>
      </c>
      <c r="E19" s="101">
        <v>6139</v>
      </c>
      <c r="F19" s="101">
        <v>4933</v>
      </c>
      <c r="G19" s="101">
        <v>5645</v>
      </c>
      <c r="H19" s="101">
        <v>3505</v>
      </c>
      <c r="I19" s="263">
        <f>4933-3691</f>
        <v>1242</v>
      </c>
      <c r="J19" s="124">
        <f>2524-157-K19-147</f>
        <v>945</v>
      </c>
      <c r="K19" s="124">
        <f>1422-147</f>
        <v>1275</v>
      </c>
      <c r="L19" s="124">
        <f>1120-104</f>
        <v>1016</v>
      </c>
      <c r="M19" s="124">
        <f>G19-SUM(J19:L19)</f>
        <v>2409</v>
      </c>
      <c r="N19" s="124">
        <f>1050-301</f>
        <v>749</v>
      </c>
      <c r="O19" s="124">
        <f>1233-155</f>
        <v>1078</v>
      </c>
      <c r="P19" s="195">
        <f>866-158</f>
        <v>708</v>
      </c>
      <c r="Q19" s="101">
        <f>H19-SUM(N19:P19)</f>
        <v>970</v>
      </c>
      <c r="R19" s="264">
        <v>1025</v>
      </c>
    </row>
    <row r="20" spans="1:18" ht="20.100000000000001" customHeight="1" thickBot="1">
      <c r="A20" s="7"/>
      <c r="B20" s="65" t="s">
        <v>24</v>
      </c>
      <c r="C20" s="173">
        <f t="shared" ref="C20" si="9">C16+C18-C19</f>
        <v>10156</v>
      </c>
      <c r="D20" s="218">
        <f t="shared" ref="D20" si="10">D16+D18-D19</f>
        <v>9203</v>
      </c>
      <c r="E20" s="218">
        <f t="shared" ref="E20" si="11">E16+E18-E19</f>
        <v>15040</v>
      </c>
      <c r="F20" s="218">
        <f t="shared" ref="F20" si="12">F16+F18-F19</f>
        <v>21021</v>
      </c>
      <c r="G20" s="218">
        <f t="shared" ref="G20:H20" si="13">G16+G18-G19</f>
        <v>29402</v>
      </c>
      <c r="H20" s="218">
        <f t="shared" si="13"/>
        <v>35051</v>
      </c>
      <c r="I20" s="283">
        <f t="shared" ref="I20:K20" si="14">I16+I18-I19</f>
        <v>-4003</v>
      </c>
      <c r="J20" s="284">
        <f t="shared" si="14"/>
        <v>6522</v>
      </c>
      <c r="K20" s="284">
        <f t="shared" si="14"/>
        <v>9192</v>
      </c>
      <c r="L20" s="284">
        <f>L16+L18-L19</f>
        <v>8960</v>
      </c>
      <c r="M20" s="284">
        <f t="shared" ref="M20:Q20" si="15">M16+M18-M19</f>
        <v>4728</v>
      </c>
      <c r="N20" s="284">
        <f t="shared" si="15"/>
        <v>10504</v>
      </c>
      <c r="O20" s="284">
        <f t="shared" si="15"/>
        <v>11717</v>
      </c>
      <c r="P20" s="284">
        <f t="shared" ref="P20" si="16">P16+P18-P19</f>
        <v>10202</v>
      </c>
      <c r="Q20" s="284">
        <f t="shared" si="15"/>
        <v>2628</v>
      </c>
      <c r="R20" s="285">
        <v>10232</v>
      </c>
    </row>
    <row r="21" spans="1:18" ht="20.100000000000001" customHeight="1">
      <c r="A21" s="15"/>
      <c r="B21" s="67"/>
      <c r="C21" s="44"/>
      <c r="D21" s="32"/>
      <c r="E21" s="32"/>
      <c r="F21" s="32"/>
      <c r="G21" s="32"/>
      <c r="H21" s="32"/>
      <c r="I21" s="265"/>
      <c r="J21" s="118"/>
      <c r="K21" s="219"/>
      <c r="L21" s="80"/>
      <c r="M21" s="220"/>
      <c r="N21" s="118"/>
      <c r="O21" s="118"/>
      <c r="P21" s="178"/>
      <c r="Q21" s="178"/>
      <c r="R21" s="266"/>
    </row>
    <row r="22" spans="1:18" ht="20.100000000000001" customHeight="1" thickBot="1">
      <c r="A22" s="7"/>
      <c r="B22" s="66" t="s">
        <v>25</v>
      </c>
      <c r="C22" s="131">
        <v>3302</v>
      </c>
      <c r="D22" s="101">
        <v>5501</v>
      </c>
      <c r="E22" s="101">
        <v>3311</v>
      </c>
      <c r="F22" s="101">
        <v>5760</v>
      </c>
      <c r="G22" s="101">
        <v>6039</v>
      </c>
      <c r="H22" s="101">
        <v>5530</v>
      </c>
      <c r="I22" s="263">
        <f>5760-388-4938</f>
        <v>434</v>
      </c>
      <c r="J22" s="124">
        <f>3546-K22</f>
        <v>1416</v>
      </c>
      <c r="K22" s="124">
        <v>2130</v>
      </c>
      <c r="L22" s="124">
        <v>1998</v>
      </c>
      <c r="M22" s="124">
        <f>G22-SUM(J22:L22)</f>
        <v>495</v>
      </c>
      <c r="N22" s="124">
        <v>2006</v>
      </c>
      <c r="O22" s="124">
        <v>1960</v>
      </c>
      <c r="P22" s="195">
        <f>1420-1</f>
        <v>1419</v>
      </c>
      <c r="Q22" s="101">
        <f>H22-SUM(N22:P22)</f>
        <v>145</v>
      </c>
      <c r="R22" s="264">
        <v>1877</v>
      </c>
    </row>
    <row r="23" spans="1:18" ht="20.100000000000001" customHeight="1" thickBot="1">
      <c r="A23" s="15"/>
      <c r="B23" s="65" t="s">
        <v>26</v>
      </c>
      <c r="C23" s="173">
        <f t="shared" ref="C23" si="17">C20-C22</f>
        <v>6854</v>
      </c>
      <c r="D23" s="218">
        <f t="shared" ref="D23" si="18">D20-D22</f>
        <v>3702</v>
      </c>
      <c r="E23" s="218">
        <f t="shared" ref="E23" si="19">E20-E22</f>
        <v>11729</v>
      </c>
      <c r="F23" s="218">
        <f t="shared" ref="F23" si="20">F20-F22</f>
        <v>15261</v>
      </c>
      <c r="G23" s="218">
        <f t="shared" ref="G23:H23" si="21">G20-G22</f>
        <v>23363</v>
      </c>
      <c r="H23" s="218">
        <f t="shared" si="21"/>
        <v>29521</v>
      </c>
      <c r="I23" s="283">
        <f t="shared" ref="I23:K23" si="22">I20-I22</f>
        <v>-4437</v>
      </c>
      <c r="J23" s="284">
        <f t="shared" si="22"/>
        <v>5106</v>
      </c>
      <c r="K23" s="284">
        <f t="shared" si="22"/>
        <v>7062</v>
      </c>
      <c r="L23" s="284">
        <f>L20-L22</f>
        <v>6962</v>
      </c>
      <c r="M23" s="284">
        <f t="shared" ref="M23:O23" si="23">M20-M22</f>
        <v>4233</v>
      </c>
      <c r="N23" s="284">
        <f t="shared" si="23"/>
        <v>8498</v>
      </c>
      <c r="O23" s="284">
        <f t="shared" si="23"/>
        <v>9757</v>
      </c>
      <c r="P23" s="284">
        <f>P20-P22-1</f>
        <v>8782</v>
      </c>
      <c r="Q23" s="284">
        <f>Q20-Q22+1</f>
        <v>2484</v>
      </c>
      <c r="R23" s="285">
        <v>8355</v>
      </c>
    </row>
    <row r="24" spans="1:18" ht="20.100000000000001" customHeight="1">
      <c r="A24" s="16"/>
      <c r="B24" s="67"/>
      <c r="C24" s="44"/>
      <c r="D24" s="32"/>
      <c r="E24" s="32"/>
      <c r="F24" s="32"/>
      <c r="G24" s="32"/>
      <c r="H24" s="32"/>
      <c r="I24" s="267"/>
      <c r="J24" s="118"/>
      <c r="K24" s="219"/>
      <c r="L24" s="23"/>
      <c r="M24" s="220"/>
      <c r="N24" s="118"/>
      <c r="O24" s="118"/>
      <c r="P24" s="178"/>
      <c r="Q24" s="178"/>
      <c r="R24" s="266"/>
    </row>
    <row r="25" spans="1:18" ht="20.100000000000001" customHeight="1">
      <c r="A25" s="7"/>
      <c r="B25" s="66" t="s">
        <v>85</v>
      </c>
      <c r="C25" s="131">
        <v>-1941</v>
      </c>
      <c r="D25" s="101">
        <v>-402</v>
      </c>
      <c r="E25" s="101">
        <v>-705</v>
      </c>
      <c r="F25" s="101">
        <v>-444</v>
      </c>
      <c r="G25" s="101">
        <v>0</v>
      </c>
      <c r="H25" s="101">
        <v>0</v>
      </c>
      <c r="I25" s="263">
        <f>-444+416</f>
        <v>-28</v>
      </c>
      <c r="J25" s="101">
        <v>0</v>
      </c>
      <c r="K25" s="101">
        <v>0</v>
      </c>
      <c r="L25" s="101">
        <v>0</v>
      </c>
      <c r="M25" s="101">
        <f t="shared" ref="M25" si="24">H25-SUM(J25:L25)</f>
        <v>0</v>
      </c>
      <c r="N25" s="101">
        <v>0</v>
      </c>
      <c r="O25" s="101">
        <v>0</v>
      </c>
      <c r="P25" s="139">
        <v>0</v>
      </c>
      <c r="Q25" s="101">
        <f>H25-SUM(N25:P25)</f>
        <v>0</v>
      </c>
      <c r="R25" s="264">
        <v>0</v>
      </c>
    </row>
    <row r="26" spans="1:18" ht="20.100000000000001" customHeight="1" thickBot="1">
      <c r="A26" s="7"/>
      <c r="B26" s="67"/>
      <c r="C26" s="44"/>
      <c r="D26" s="32"/>
      <c r="E26" s="32"/>
      <c r="F26" s="32"/>
      <c r="G26" s="32"/>
      <c r="H26" s="32"/>
      <c r="I26" s="267"/>
      <c r="J26" s="118"/>
      <c r="K26" s="219"/>
      <c r="L26" s="80"/>
      <c r="M26" s="220"/>
      <c r="N26" s="118"/>
      <c r="O26" s="118"/>
      <c r="P26" s="178"/>
      <c r="Q26" s="178"/>
      <c r="R26" s="266"/>
    </row>
    <row r="27" spans="1:18" ht="20.100000000000001" customHeight="1" thickBot="1">
      <c r="A27" s="15"/>
      <c r="B27" s="65" t="s">
        <v>27</v>
      </c>
      <c r="C27" s="173">
        <f t="shared" ref="C27:H27" si="25">C23+C25</f>
        <v>4913</v>
      </c>
      <c r="D27" s="218">
        <f t="shared" si="25"/>
        <v>3300</v>
      </c>
      <c r="E27" s="218">
        <f t="shared" si="25"/>
        <v>11024</v>
      </c>
      <c r="F27" s="218">
        <f t="shared" si="25"/>
        <v>14817</v>
      </c>
      <c r="G27" s="218">
        <f t="shared" ref="G27" si="26">G23+G25</f>
        <v>23363</v>
      </c>
      <c r="H27" s="218">
        <f t="shared" si="25"/>
        <v>29521</v>
      </c>
      <c r="I27" s="283">
        <f t="shared" ref="I27:K27" si="27">I23+I25</f>
        <v>-4465</v>
      </c>
      <c r="J27" s="284">
        <f t="shared" si="27"/>
        <v>5106</v>
      </c>
      <c r="K27" s="284">
        <f t="shared" si="27"/>
        <v>7062</v>
      </c>
      <c r="L27" s="284">
        <f>L23+L25</f>
        <v>6962</v>
      </c>
      <c r="M27" s="284">
        <f t="shared" ref="M27:Q27" si="28">M23+M25</f>
        <v>4233</v>
      </c>
      <c r="N27" s="284">
        <f t="shared" si="28"/>
        <v>8498</v>
      </c>
      <c r="O27" s="284">
        <f t="shared" si="28"/>
        <v>9757</v>
      </c>
      <c r="P27" s="284">
        <f>P23+P25</f>
        <v>8782</v>
      </c>
      <c r="Q27" s="284">
        <f t="shared" si="28"/>
        <v>2484</v>
      </c>
      <c r="R27" s="285">
        <v>8355</v>
      </c>
    </row>
    <row r="28" spans="1:18" ht="20.100000000000001" customHeight="1">
      <c r="A28" s="7"/>
      <c r="B28" s="67"/>
      <c r="C28" s="44"/>
      <c r="D28" s="32"/>
      <c r="E28" s="32"/>
      <c r="F28" s="32"/>
      <c r="G28" s="32"/>
      <c r="H28" s="32"/>
      <c r="I28" s="265"/>
      <c r="J28" s="118"/>
      <c r="K28" s="80"/>
      <c r="L28" s="80"/>
      <c r="M28" s="80"/>
      <c r="N28" s="118"/>
      <c r="O28" s="118"/>
      <c r="P28" s="178"/>
      <c r="Q28" s="178"/>
      <c r="R28" s="266"/>
    </row>
    <row r="29" spans="1:18" ht="20.100000000000001" customHeight="1">
      <c r="A29" s="7"/>
      <c r="B29" s="67" t="s">
        <v>28</v>
      </c>
      <c r="C29" s="42"/>
      <c r="D29" s="184"/>
      <c r="E29" s="184"/>
      <c r="F29" s="184"/>
      <c r="G29" s="184"/>
      <c r="H29" s="184"/>
      <c r="I29" s="265"/>
      <c r="J29" s="120"/>
      <c r="K29" s="120"/>
      <c r="L29" s="120"/>
      <c r="M29" s="120"/>
      <c r="N29" s="120"/>
      <c r="O29" s="120"/>
      <c r="P29" s="120"/>
      <c r="Q29" s="120"/>
      <c r="R29" s="268"/>
    </row>
    <row r="30" spans="1:18" ht="20.100000000000001" customHeight="1">
      <c r="A30" s="7"/>
      <c r="B30" s="67" t="s">
        <v>29</v>
      </c>
      <c r="C30" s="128">
        <v>5103</v>
      </c>
      <c r="D30" s="114">
        <v>2557</v>
      </c>
      <c r="E30" s="114">
        <v>10206</v>
      </c>
      <c r="F30" s="114">
        <v>14964</v>
      </c>
      <c r="G30" s="114">
        <v>21565</v>
      </c>
      <c r="H30" s="114">
        <v>26853</v>
      </c>
      <c r="I30" s="269">
        <f>14964-2041+388-2101+343-15165</f>
        <v>-3612</v>
      </c>
      <c r="J30" s="216">
        <f>10934-K30</f>
        <v>4939</v>
      </c>
      <c r="K30" s="216">
        <v>5995</v>
      </c>
      <c r="L30" s="216">
        <v>6434</v>
      </c>
      <c r="M30" s="101">
        <f t="shared" ref="M30:M31" si="29">H30-SUM(J30:L30)</f>
        <v>9485</v>
      </c>
      <c r="N30" s="216">
        <f>16678-O30</f>
        <v>7896</v>
      </c>
      <c r="O30" s="216">
        <v>8782</v>
      </c>
      <c r="P30" s="213">
        <v>7844</v>
      </c>
      <c r="Q30" s="101">
        <f>H30-SUM(N30:P30)</f>
        <v>2331</v>
      </c>
      <c r="R30" s="264">
        <v>7732</v>
      </c>
    </row>
    <row r="31" spans="1:18" ht="20.100000000000001" customHeight="1">
      <c r="A31" s="7"/>
      <c r="B31" s="67" t="s">
        <v>30</v>
      </c>
      <c r="C31" s="128">
        <v>-190</v>
      </c>
      <c r="D31" s="114">
        <v>743</v>
      </c>
      <c r="E31" s="114">
        <v>818</v>
      </c>
      <c r="F31" s="114">
        <v>-147</v>
      </c>
      <c r="G31" s="114">
        <v>1798</v>
      </c>
      <c r="H31" s="114">
        <v>2668</v>
      </c>
      <c r="I31" s="269">
        <f>-147-706</f>
        <v>-853</v>
      </c>
      <c r="J31" s="216">
        <f>1234-K31</f>
        <v>167</v>
      </c>
      <c r="K31" s="216">
        <v>1067</v>
      </c>
      <c r="L31" s="216">
        <v>528</v>
      </c>
      <c r="M31" s="101">
        <f t="shared" si="29"/>
        <v>906</v>
      </c>
      <c r="N31" s="216">
        <f>1577-O31</f>
        <v>602</v>
      </c>
      <c r="O31" s="216">
        <v>975</v>
      </c>
      <c r="P31" s="213">
        <v>938</v>
      </c>
      <c r="Q31" s="101">
        <f>H31-SUM(N31:P31)</f>
        <v>153</v>
      </c>
      <c r="R31" s="264">
        <v>623</v>
      </c>
    </row>
    <row r="32" spans="1:18" ht="20.100000000000001" customHeight="1">
      <c r="A32" s="7"/>
      <c r="B32" s="65"/>
      <c r="C32" s="117"/>
      <c r="D32" s="31"/>
      <c r="E32" s="31"/>
      <c r="F32" s="31"/>
      <c r="G32" s="31"/>
      <c r="H32" s="31"/>
      <c r="I32" s="270"/>
      <c r="J32" s="32"/>
      <c r="K32" s="80"/>
      <c r="L32" s="80"/>
      <c r="M32" s="212"/>
      <c r="N32" s="32"/>
      <c r="O32" s="32"/>
      <c r="P32" s="214"/>
      <c r="Q32" s="214"/>
      <c r="R32" s="271"/>
    </row>
    <row r="33" spans="1:18" ht="20.100000000000001" customHeight="1">
      <c r="A33" s="7"/>
      <c r="B33" s="65" t="s">
        <v>31</v>
      </c>
      <c r="C33" s="43"/>
      <c r="D33" s="31"/>
      <c r="E33" s="31"/>
      <c r="F33" s="31"/>
      <c r="G33" s="31"/>
      <c r="H33" s="31"/>
      <c r="I33" s="270"/>
      <c r="J33" s="32"/>
      <c r="K33" s="23"/>
      <c r="L33" s="23"/>
      <c r="M33" s="212"/>
      <c r="N33" s="118"/>
      <c r="O33" s="118"/>
      <c r="P33" s="178"/>
      <c r="Q33" s="178"/>
      <c r="R33" s="266"/>
    </row>
    <row r="34" spans="1:18" ht="20.100000000000001" customHeight="1">
      <c r="A34" s="7"/>
      <c r="B34" s="66" t="s">
        <v>111</v>
      </c>
      <c r="C34" s="131">
        <v>271</v>
      </c>
      <c r="D34" s="101">
        <v>1641</v>
      </c>
      <c r="E34" s="101">
        <v>4996</v>
      </c>
      <c r="F34" s="101">
        <v>3726</v>
      </c>
      <c r="G34" s="101">
        <v>-508</v>
      </c>
      <c r="H34" s="101">
        <v>659</v>
      </c>
      <c r="I34" s="272">
        <f>3726-6889+313</f>
        <v>-2850</v>
      </c>
      <c r="J34" s="124">
        <f>-1009-K34</f>
        <v>-266</v>
      </c>
      <c r="K34" s="124">
        <v>-743</v>
      </c>
      <c r="L34" s="124">
        <v>612</v>
      </c>
      <c r="M34" s="124">
        <f>G34-SUM(J34:L34)</f>
        <v>-111</v>
      </c>
      <c r="N34" s="195">
        <f>-2713-O34</f>
        <v>-2368</v>
      </c>
      <c r="O34" s="195">
        <v>-345</v>
      </c>
      <c r="P34" s="195">
        <v>2272</v>
      </c>
      <c r="Q34" s="101">
        <f>H34-SUM(N34:P34)</f>
        <v>1100</v>
      </c>
      <c r="R34" s="273">
        <f>-1819</f>
        <v>-1819</v>
      </c>
    </row>
    <row r="35" spans="1:18" ht="20.100000000000001" customHeight="1" thickBot="1">
      <c r="B35" s="65"/>
      <c r="C35" s="44"/>
      <c r="D35" s="118"/>
      <c r="E35" s="118"/>
      <c r="F35" s="118"/>
      <c r="G35" s="118"/>
      <c r="H35" s="118"/>
      <c r="I35" s="265"/>
      <c r="J35" s="118"/>
      <c r="K35" s="219"/>
      <c r="L35" s="80"/>
      <c r="M35" s="118"/>
      <c r="N35" s="118"/>
      <c r="O35" s="118"/>
      <c r="P35" s="178"/>
      <c r="Q35" s="178"/>
      <c r="R35" s="266"/>
    </row>
    <row r="36" spans="1:18" ht="20.100000000000001" customHeight="1" thickBot="1">
      <c r="B36" s="65" t="s">
        <v>32</v>
      </c>
      <c r="C36" s="173">
        <f t="shared" ref="C36:F36" si="30">C27+C34</f>
        <v>5184</v>
      </c>
      <c r="D36" s="218">
        <f t="shared" si="30"/>
        <v>4941</v>
      </c>
      <c r="E36" s="218">
        <f t="shared" si="30"/>
        <v>16020</v>
      </c>
      <c r="F36" s="218">
        <f t="shared" si="30"/>
        <v>18543</v>
      </c>
      <c r="G36" s="218">
        <f>G27+G34</f>
        <v>22855</v>
      </c>
      <c r="H36" s="218">
        <f>H27+H34</f>
        <v>30180</v>
      </c>
      <c r="I36" s="283">
        <f t="shared" ref="I36:K36" si="31">I27+I34</f>
        <v>-7315</v>
      </c>
      <c r="J36" s="284">
        <f t="shared" si="31"/>
        <v>4840</v>
      </c>
      <c r="K36" s="284">
        <f t="shared" si="31"/>
        <v>6319</v>
      </c>
      <c r="L36" s="284">
        <f>L27+L34</f>
        <v>7574</v>
      </c>
      <c r="M36" s="284">
        <f t="shared" ref="M36:Q36" si="32">M27+M34</f>
        <v>4122</v>
      </c>
      <c r="N36" s="284">
        <f t="shared" si="32"/>
        <v>6130</v>
      </c>
      <c r="O36" s="284">
        <f t="shared" si="32"/>
        <v>9412</v>
      </c>
      <c r="P36" s="284">
        <f t="shared" ref="P36" si="33">P27+P34</f>
        <v>11054</v>
      </c>
      <c r="Q36" s="284">
        <f t="shared" si="32"/>
        <v>3584</v>
      </c>
      <c r="R36" s="285">
        <v>6536</v>
      </c>
    </row>
    <row r="37" spans="1:18" ht="20.100000000000001" customHeight="1">
      <c r="B37" s="67" t="s">
        <v>28</v>
      </c>
      <c r="C37" s="44"/>
      <c r="D37" s="118"/>
      <c r="E37" s="118"/>
      <c r="F37" s="118"/>
      <c r="G37" s="118"/>
      <c r="H37" s="118"/>
      <c r="I37" s="274"/>
      <c r="J37" s="32"/>
      <c r="K37" s="219"/>
      <c r="L37" s="80"/>
      <c r="M37" s="118"/>
      <c r="N37" s="118"/>
      <c r="O37" s="118"/>
      <c r="P37" s="178"/>
      <c r="Q37" s="178"/>
      <c r="R37" s="266"/>
    </row>
    <row r="38" spans="1:18" ht="20.100000000000001" customHeight="1">
      <c r="B38" s="67" t="s">
        <v>29</v>
      </c>
      <c r="C38" s="131">
        <v>5830</v>
      </c>
      <c r="D38" s="101">
        <v>3433</v>
      </c>
      <c r="E38" s="101">
        <v>16041</v>
      </c>
      <c r="F38" s="101">
        <v>18597</v>
      </c>
      <c r="G38" s="101">
        <v>21487</v>
      </c>
      <c r="H38" s="101">
        <v>27635</v>
      </c>
      <c r="I38" s="272">
        <f>18597-2041+388-2101+343-6889-15274+313</f>
        <v>-6664</v>
      </c>
      <c r="J38" s="124">
        <f>9500-K38</f>
        <v>4679</v>
      </c>
      <c r="K38" s="124">
        <v>4821</v>
      </c>
      <c r="L38" s="124">
        <v>7169</v>
      </c>
      <c r="M38" s="124">
        <f>G38-SUM(J38:L38)</f>
        <v>4818</v>
      </c>
      <c r="N38" s="124">
        <f>14532-O38</f>
        <v>5299</v>
      </c>
      <c r="O38" s="124">
        <v>9233</v>
      </c>
      <c r="P38" s="124">
        <v>10063</v>
      </c>
      <c r="Q38" s="101">
        <f>H38-SUM(N38:P38)</f>
        <v>3040</v>
      </c>
      <c r="R38" s="264">
        <v>5967</v>
      </c>
    </row>
    <row r="39" spans="1:18" ht="20.100000000000001" customHeight="1">
      <c r="B39" s="67" t="s">
        <v>30</v>
      </c>
      <c r="C39" s="131">
        <v>-646</v>
      </c>
      <c r="D39" s="101">
        <v>1508</v>
      </c>
      <c r="E39" s="101">
        <v>-21</v>
      </c>
      <c r="F39" s="101">
        <v>-54</v>
      </c>
      <c r="G39" s="101">
        <f>1368</f>
        <v>1368</v>
      </c>
      <c r="H39" s="101">
        <v>2545</v>
      </c>
      <c r="I39" s="263">
        <f>-54-284</f>
        <v>-338</v>
      </c>
      <c r="J39" s="124">
        <f>1659-K39</f>
        <v>161</v>
      </c>
      <c r="K39" s="124">
        <v>1498</v>
      </c>
      <c r="L39" s="124">
        <v>405</v>
      </c>
      <c r="M39" s="124">
        <f>G39-SUM(J39:L39)</f>
        <v>-696</v>
      </c>
      <c r="N39" s="124">
        <f>1010-O39</f>
        <v>831</v>
      </c>
      <c r="O39" s="124">
        <v>179</v>
      </c>
      <c r="P39" s="195">
        <v>991</v>
      </c>
      <c r="Q39" s="101">
        <f>H39-SUM(N39:P39)</f>
        <v>544</v>
      </c>
      <c r="R39" s="264">
        <v>569</v>
      </c>
    </row>
    <row r="40" spans="1:18" ht="20.100000000000001" customHeight="1">
      <c r="B40" s="65"/>
      <c r="C40" s="42"/>
      <c r="D40" s="32"/>
      <c r="E40" s="220"/>
      <c r="F40" s="32"/>
      <c r="G40" s="32"/>
      <c r="H40" s="32"/>
      <c r="I40" s="267"/>
      <c r="J40" s="32"/>
      <c r="K40" s="221"/>
      <c r="L40" s="23"/>
      <c r="M40" s="23"/>
      <c r="N40" s="32"/>
      <c r="O40" s="32"/>
      <c r="P40" s="178"/>
      <c r="Q40" s="178"/>
      <c r="R40" s="266"/>
    </row>
    <row r="41" spans="1:18" ht="20.100000000000001" customHeight="1">
      <c r="B41" s="65" t="s">
        <v>33</v>
      </c>
      <c r="C41" s="42"/>
      <c r="D41" s="32"/>
      <c r="E41" s="118"/>
      <c r="F41" s="32"/>
      <c r="G41" s="32"/>
      <c r="H41" s="32"/>
      <c r="I41" s="267"/>
      <c r="J41" s="32"/>
      <c r="K41" s="221"/>
      <c r="L41" s="80"/>
      <c r="M41" s="80"/>
      <c r="N41" s="32"/>
      <c r="O41" s="32"/>
      <c r="P41" s="178"/>
      <c r="Q41" s="178"/>
      <c r="R41" s="266"/>
    </row>
    <row r="42" spans="1:18" ht="20.100000000000001" customHeight="1">
      <c r="B42" s="68" t="s">
        <v>34</v>
      </c>
      <c r="C42" s="44"/>
      <c r="D42" s="118"/>
      <c r="E42" s="118"/>
      <c r="F42" s="118"/>
      <c r="G42" s="118"/>
      <c r="H42" s="118"/>
      <c r="I42" s="274"/>
      <c r="J42" s="32"/>
      <c r="K42" s="222"/>
      <c r="L42" s="23"/>
      <c r="M42" s="23"/>
      <c r="N42" s="118"/>
      <c r="O42" s="118"/>
      <c r="P42" s="178"/>
      <c r="Q42" s="178"/>
      <c r="R42" s="266"/>
    </row>
    <row r="43" spans="1:18" ht="20.100000000000001" customHeight="1">
      <c r="B43" s="66" t="s">
        <v>35</v>
      </c>
      <c r="C43" s="132">
        <v>0.44</v>
      </c>
      <c r="D43" s="193">
        <v>0.24</v>
      </c>
      <c r="E43" s="193">
        <v>0.75</v>
      </c>
      <c r="F43" s="193">
        <v>0.97</v>
      </c>
      <c r="G43" s="193">
        <v>1.49</v>
      </c>
      <c r="H43" s="193">
        <v>1.89</v>
      </c>
      <c r="I43" s="275">
        <v>-0.28000000000000003</v>
      </c>
      <c r="J43" s="157">
        <v>0.33</v>
      </c>
      <c r="K43" s="157">
        <v>0.45</v>
      </c>
      <c r="L43" s="157">
        <v>0.44</v>
      </c>
      <c r="M43" s="157">
        <v>0.27</v>
      </c>
      <c r="N43" s="157">
        <f>1.16-O43</f>
        <v>0.53999999999999992</v>
      </c>
      <c r="O43" s="157">
        <v>0.62</v>
      </c>
      <c r="P43" s="226">
        <v>0.56000000000000005</v>
      </c>
      <c r="Q43" s="226">
        <v>0.16</v>
      </c>
      <c r="R43" s="276">
        <v>0.54</v>
      </c>
    </row>
    <row r="44" spans="1:18" ht="20.100000000000001" customHeight="1">
      <c r="B44" s="66" t="s">
        <v>36</v>
      </c>
      <c r="C44" s="132">
        <v>0.44</v>
      </c>
      <c r="D44" s="193">
        <v>0.24</v>
      </c>
      <c r="E44" s="193">
        <v>0.75</v>
      </c>
      <c r="F44" s="193">
        <v>0.97</v>
      </c>
      <c r="G44" s="193">
        <v>1.19</v>
      </c>
      <c r="H44" s="193">
        <v>1.89</v>
      </c>
      <c r="I44" s="275">
        <v>-0.28000000000000003</v>
      </c>
      <c r="J44" s="157">
        <f>0.78-K44</f>
        <v>0.33</v>
      </c>
      <c r="K44" s="157">
        <v>0.45</v>
      </c>
      <c r="L44" s="157">
        <v>0.44</v>
      </c>
      <c r="M44" s="157">
        <v>0.27</v>
      </c>
      <c r="N44" s="157">
        <f>1.16-O44</f>
        <v>0.53999999999999992</v>
      </c>
      <c r="O44" s="157">
        <v>0.62</v>
      </c>
      <c r="P44" s="226">
        <v>0.56000000000000005</v>
      </c>
      <c r="Q44" s="226">
        <v>0.16</v>
      </c>
      <c r="R44" s="276">
        <v>0.54</v>
      </c>
    </row>
    <row r="45" spans="1:18" ht="20.100000000000001" customHeight="1">
      <c r="B45" s="68" t="s">
        <v>37</v>
      </c>
      <c r="C45" s="44"/>
      <c r="D45" s="223"/>
      <c r="E45" s="224"/>
      <c r="F45" s="224"/>
      <c r="G45" s="224"/>
      <c r="H45" s="224"/>
      <c r="I45" s="277"/>
      <c r="J45" s="227"/>
      <c r="K45" s="225"/>
      <c r="L45" s="225"/>
      <c r="M45" s="225"/>
      <c r="N45" s="228"/>
      <c r="O45" s="228"/>
      <c r="P45" s="229"/>
      <c r="Q45" s="229"/>
      <c r="R45" s="278"/>
    </row>
    <row r="46" spans="1:18" ht="20.100000000000001" customHeight="1">
      <c r="B46" s="66" t="s">
        <v>35</v>
      </c>
      <c r="C46" s="132">
        <v>0.31</v>
      </c>
      <c r="D46" s="193">
        <v>0.21</v>
      </c>
      <c r="E46" s="193">
        <v>0.7</v>
      </c>
      <c r="F46" s="193">
        <v>0.94</v>
      </c>
      <c r="G46" s="193">
        <v>1.49</v>
      </c>
      <c r="H46" s="193">
        <v>1.89</v>
      </c>
      <c r="I46" s="275">
        <v>-0.28000000000000003</v>
      </c>
      <c r="J46" s="157">
        <v>0.33</v>
      </c>
      <c r="K46" s="157">
        <v>0.45</v>
      </c>
      <c r="L46" s="157">
        <v>0.44</v>
      </c>
      <c r="M46" s="157">
        <v>0.27</v>
      </c>
      <c r="N46" s="157">
        <v>0.54</v>
      </c>
      <c r="O46" s="157">
        <v>0.62</v>
      </c>
      <c r="P46" s="226">
        <v>0.56000000000000005</v>
      </c>
      <c r="Q46" s="226">
        <v>0.16</v>
      </c>
      <c r="R46" s="276">
        <v>0.54</v>
      </c>
    </row>
    <row r="47" spans="1:18" ht="20.100000000000001" customHeight="1" thickBot="1">
      <c r="B47" s="69" t="s">
        <v>36</v>
      </c>
      <c r="C47" s="152">
        <v>0.31</v>
      </c>
      <c r="D47" s="194">
        <v>0.21</v>
      </c>
      <c r="E47" s="194">
        <v>0.7</v>
      </c>
      <c r="F47" s="194">
        <v>0.94</v>
      </c>
      <c r="G47" s="194">
        <v>1.49</v>
      </c>
      <c r="H47" s="194">
        <v>1.89</v>
      </c>
      <c r="I47" s="279">
        <v>-0.28000000000000003</v>
      </c>
      <c r="J47" s="280">
        <v>0.33</v>
      </c>
      <c r="K47" s="280">
        <v>0.45</v>
      </c>
      <c r="L47" s="280">
        <v>0.44</v>
      </c>
      <c r="M47" s="280">
        <v>0.27</v>
      </c>
      <c r="N47" s="280">
        <v>0.54</v>
      </c>
      <c r="O47" s="280">
        <v>0.62</v>
      </c>
      <c r="P47" s="281">
        <v>0.56000000000000005</v>
      </c>
      <c r="Q47" s="281">
        <v>0.16</v>
      </c>
      <c r="R47" s="282">
        <v>0.54</v>
      </c>
    </row>
    <row r="48" spans="1:18" ht="20.100000000000001" customHeight="1">
      <c r="I48" s="82" t="s">
        <v>95</v>
      </c>
      <c r="J48" s="83"/>
      <c r="K48" s="83"/>
      <c r="L48" s="83"/>
    </row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</sheetData>
  <mergeCells count="4">
    <mergeCell ref="C4:H4"/>
    <mergeCell ref="B4:B5"/>
    <mergeCell ref="D3:H3"/>
    <mergeCell ref="I4:R4"/>
  </mergeCells>
  <pageMargins left="0.27559055118110237" right="0.27559055118110237" top="0.74803149606299213" bottom="0.74803149606299213" header="0.31496062992125984" footer="0.31496062992125984"/>
  <pageSetup paperSize="9" scale="4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5"/>
  <sheetViews>
    <sheetView zoomScale="120" zoomScaleNormal="120" workbookViewId="0">
      <pane xSplit="2" ySplit="5" topLeftCell="F36" activePane="bottomRight" state="frozen"/>
      <selection pane="topRight" activeCell="C1" sqref="C1"/>
      <selection pane="bottomLeft" activeCell="A5" sqref="A5"/>
      <selection pane="bottomRight" activeCell="S12" sqref="S12"/>
    </sheetView>
  </sheetViews>
  <sheetFormatPr defaultColWidth="9" defaultRowHeight="14.25"/>
  <cols>
    <col min="1" max="1" width="3.375" style="10" customWidth="1"/>
    <col min="2" max="2" width="31.625" style="10" customWidth="1"/>
    <col min="3" max="15" width="10.625" style="10" customWidth="1"/>
    <col min="16" max="16" width="10.5" style="10" customWidth="1"/>
    <col min="17" max="17" width="21.375" style="10" customWidth="1"/>
    <col min="18" max="16384" width="9" style="10"/>
  </cols>
  <sheetData>
    <row r="1" spans="1:17" ht="59.25" customHeight="1">
      <c r="A1" s="7"/>
      <c r="B1" s="58"/>
      <c r="C1" s="18"/>
      <c r="D1" s="18"/>
      <c r="E1" s="323" t="s">
        <v>3</v>
      </c>
      <c r="F1" s="323"/>
      <c r="G1" s="323"/>
      <c r="H1" s="323"/>
      <c r="I1" s="323"/>
      <c r="J1" s="323"/>
      <c r="K1" s="323"/>
      <c r="L1" s="323"/>
      <c r="M1" s="323"/>
      <c r="N1" s="175"/>
      <c r="O1" s="209"/>
      <c r="P1" s="18"/>
      <c r="Q1" s="18"/>
    </row>
    <row r="2" spans="1:17" ht="39.75" customHeight="1">
      <c r="A2" s="7"/>
      <c r="B2" s="59"/>
      <c r="C2" s="60"/>
      <c r="D2" s="60"/>
      <c r="E2" s="74" t="s">
        <v>12</v>
      </c>
      <c r="F2" s="61"/>
      <c r="G2" s="61"/>
      <c r="H2" s="61"/>
      <c r="I2" s="61"/>
      <c r="J2" s="61"/>
      <c r="K2" s="61"/>
      <c r="L2" s="61"/>
      <c r="M2" s="62"/>
      <c r="N2" s="62"/>
      <c r="O2" s="62"/>
      <c r="P2" s="60"/>
      <c r="Q2" s="63"/>
    </row>
    <row r="3" spans="1:17" ht="15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24.95" customHeight="1" thickBot="1">
      <c r="A4" s="7"/>
      <c r="B4" s="324" t="s">
        <v>0</v>
      </c>
      <c r="C4" s="91"/>
      <c r="D4" s="315" t="s">
        <v>94</v>
      </c>
      <c r="E4" s="315"/>
      <c r="F4" s="315"/>
      <c r="G4" s="208"/>
      <c r="H4" s="92"/>
      <c r="I4" s="308" t="s">
        <v>93</v>
      </c>
      <c r="J4" s="309"/>
      <c r="K4" s="309"/>
      <c r="L4" s="326"/>
      <c r="M4" s="314" t="s">
        <v>93</v>
      </c>
      <c r="N4" s="315"/>
      <c r="O4" s="315"/>
      <c r="P4" s="315"/>
      <c r="Q4" s="304" t="s">
        <v>93</v>
      </c>
    </row>
    <row r="5" spans="1:17" ht="24.95" customHeight="1" thickBot="1">
      <c r="A5" s="7"/>
      <c r="B5" s="325"/>
      <c r="C5" s="159" t="s">
        <v>9</v>
      </c>
      <c r="D5" s="160" t="s">
        <v>8</v>
      </c>
      <c r="E5" s="160" t="s">
        <v>7</v>
      </c>
      <c r="F5" s="160" t="s">
        <v>129</v>
      </c>
      <c r="G5" s="208" t="s">
        <v>128</v>
      </c>
      <c r="H5" s="161" t="s">
        <v>161</v>
      </c>
      <c r="I5" s="162" t="s">
        <v>142</v>
      </c>
      <c r="J5" s="163" t="s">
        <v>143</v>
      </c>
      <c r="K5" s="163" t="s">
        <v>144</v>
      </c>
      <c r="L5" s="164" t="s">
        <v>145</v>
      </c>
      <c r="M5" s="162" t="s">
        <v>149</v>
      </c>
      <c r="N5" s="174" t="s">
        <v>150</v>
      </c>
      <c r="O5" s="208" t="s">
        <v>151</v>
      </c>
      <c r="P5" s="237" t="s">
        <v>171</v>
      </c>
      <c r="Q5" s="286" t="s">
        <v>176</v>
      </c>
    </row>
    <row r="6" spans="1:17" ht="24.95" customHeight="1">
      <c r="A6" s="2"/>
      <c r="B6" s="52" t="s">
        <v>71</v>
      </c>
      <c r="C6" s="48"/>
      <c r="D6" s="21"/>
      <c r="E6" s="21"/>
      <c r="F6" s="21"/>
      <c r="G6" s="21"/>
      <c r="H6" s="49"/>
      <c r="I6" s="48"/>
      <c r="J6" s="21"/>
      <c r="K6" s="21"/>
      <c r="L6" s="49"/>
      <c r="M6" s="48"/>
      <c r="N6" s="21"/>
      <c r="O6" s="21"/>
      <c r="P6" s="21"/>
      <c r="Q6" s="287"/>
    </row>
    <row r="7" spans="1:17" ht="24.95" customHeight="1">
      <c r="A7" s="2"/>
      <c r="B7" s="53" t="s">
        <v>112</v>
      </c>
      <c r="C7" s="131">
        <v>10156</v>
      </c>
      <c r="D7" s="101">
        <v>9203</v>
      </c>
      <c r="E7" s="101">
        <v>15040</v>
      </c>
      <c r="F7" s="101">
        <v>21021</v>
      </c>
      <c r="G7" s="101">
        <v>29402</v>
      </c>
      <c r="H7" s="99">
        <v>35051</v>
      </c>
      <c r="I7" s="133">
        <f>6522</f>
        <v>6522</v>
      </c>
      <c r="J7" s="97">
        <v>15714</v>
      </c>
      <c r="K7" s="97">
        <v>24674</v>
      </c>
      <c r="L7" s="101">
        <v>29402</v>
      </c>
      <c r="M7" s="198">
        <v>10504</v>
      </c>
      <c r="N7" s="186">
        <v>22221</v>
      </c>
      <c r="O7" s="186">
        <v>32423</v>
      </c>
      <c r="P7" s="101">
        <v>35051</v>
      </c>
      <c r="Q7" s="288">
        <v>10232</v>
      </c>
    </row>
    <row r="8" spans="1:17" ht="24.95" customHeight="1">
      <c r="A8" s="2"/>
      <c r="B8" s="53" t="s">
        <v>72</v>
      </c>
      <c r="C8" s="42"/>
      <c r="D8" s="33"/>
      <c r="E8" s="33"/>
      <c r="F8" s="46"/>
      <c r="G8" s="33"/>
      <c r="H8" s="39"/>
      <c r="I8" s="48"/>
      <c r="J8" s="21"/>
      <c r="K8" s="21"/>
      <c r="L8" s="33"/>
      <c r="M8" s="199"/>
      <c r="N8" s="187"/>
      <c r="O8" s="187"/>
      <c r="P8" s="33"/>
      <c r="Q8" s="289"/>
    </row>
    <row r="9" spans="1:17" ht="24.95" customHeight="1">
      <c r="A9" s="2"/>
      <c r="B9" s="54" t="s">
        <v>73</v>
      </c>
      <c r="C9" s="128">
        <v>5922</v>
      </c>
      <c r="D9" s="114">
        <v>7235</v>
      </c>
      <c r="E9" s="114">
        <v>9095</v>
      </c>
      <c r="F9" s="142">
        <v>10187</v>
      </c>
      <c r="G9" s="114">
        <v>13812</v>
      </c>
      <c r="H9" s="136">
        <v>13994</v>
      </c>
      <c r="I9" s="197">
        <f>2719</f>
        <v>2719</v>
      </c>
      <c r="J9" s="114">
        <v>6444</v>
      </c>
      <c r="K9" s="114">
        <v>8931</v>
      </c>
      <c r="L9" s="114">
        <v>13812</v>
      </c>
      <c r="M9" s="200">
        <f>3442</f>
        <v>3442</v>
      </c>
      <c r="N9" s="188">
        <v>6678</v>
      </c>
      <c r="O9" s="188">
        <v>9719</v>
      </c>
      <c r="P9" s="114">
        <v>13994</v>
      </c>
      <c r="Q9" s="290">
        <v>3508</v>
      </c>
    </row>
    <row r="10" spans="1:17" ht="24.95" customHeight="1">
      <c r="A10" s="3"/>
      <c r="B10" s="54" t="s">
        <v>113</v>
      </c>
      <c r="C10" s="128">
        <v>3387</v>
      </c>
      <c r="D10" s="115">
        <v>2522</v>
      </c>
      <c r="E10" s="114">
        <v>2450</v>
      </c>
      <c r="F10" s="114">
        <v>3166</v>
      </c>
      <c r="G10" s="114">
        <f>3704-705</f>
        <v>2999</v>
      </c>
      <c r="H10" s="136">
        <v>1997</v>
      </c>
      <c r="I10" s="128">
        <v>735</v>
      </c>
      <c r="J10" s="114">
        <v>1445</v>
      </c>
      <c r="K10" s="114">
        <v>2173</v>
      </c>
      <c r="L10" s="114">
        <f>3704-705</f>
        <v>2999</v>
      </c>
      <c r="M10" s="107">
        <v>399</v>
      </c>
      <c r="N10" s="189">
        <v>916</v>
      </c>
      <c r="O10" s="188">
        <v>1665</v>
      </c>
      <c r="P10" s="114">
        <v>1997</v>
      </c>
      <c r="Q10" s="290">
        <v>554</v>
      </c>
    </row>
    <row r="11" spans="1:17" ht="24.95" customHeight="1">
      <c r="A11" s="3"/>
      <c r="B11" s="81" t="s">
        <v>114</v>
      </c>
      <c r="C11" s="129">
        <v>-656</v>
      </c>
      <c r="D11" s="115">
        <v>-300</v>
      </c>
      <c r="E11" s="115">
        <v>-1024</v>
      </c>
      <c r="F11" s="115">
        <v>-813</v>
      </c>
      <c r="G11" s="115">
        <v>-1073</v>
      </c>
      <c r="H11" s="104">
        <v>-393</v>
      </c>
      <c r="I11" s="129">
        <v>-79</v>
      </c>
      <c r="J11" s="115">
        <v>-664</v>
      </c>
      <c r="K11" s="115">
        <v>-749</v>
      </c>
      <c r="L11" s="115">
        <v>-1073</v>
      </c>
      <c r="M11" s="108">
        <v>-154</v>
      </c>
      <c r="N11" s="190">
        <v>-81</v>
      </c>
      <c r="O11" s="115">
        <v>-81</v>
      </c>
      <c r="P11" s="115">
        <v>-393</v>
      </c>
      <c r="Q11" s="291">
        <v>-169</v>
      </c>
    </row>
    <row r="12" spans="1:17" ht="24.95" customHeight="1">
      <c r="A12" s="2"/>
      <c r="B12" s="54" t="s">
        <v>74</v>
      </c>
      <c r="C12" s="128">
        <v>-4945</v>
      </c>
      <c r="D12" s="115">
        <v>-7539</v>
      </c>
      <c r="E12" s="115">
        <v>-5088</v>
      </c>
      <c r="F12" s="142">
        <v>-5648</v>
      </c>
      <c r="G12" s="142">
        <v>3720</v>
      </c>
      <c r="H12" s="142">
        <v>31</v>
      </c>
      <c r="I12" s="129">
        <f>1575</f>
        <v>1575</v>
      </c>
      <c r="J12" s="115">
        <v>3204</v>
      </c>
      <c r="K12" s="115">
        <v>5184</v>
      </c>
      <c r="L12" s="142">
        <v>3720</v>
      </c>
      <c r="M12" s="106">
        <v>-2662</v>
      </c>
      <c r="N12" s="188">
        <v>-205</v>
      </c>
      <c r="O12" s="188">
        <v>-1607</v>
      </c>
      <c r="P12" s="142">
        <v>31</v>
      </c>
      <c r="Q12" s="292">
        <v>-7589</v>
      </c>
    </row>
    <row r="13" spans="1:17" ht="24.95" customHeight="1">
      <c r="A13" s="2"/>
      <c r="B13" s="54" t="s">
        <v>75</v>
      </c>
      <c r="C13" s="128">
        <v>-4005</v>
      </c>
      <c r="D13" s="114">
        <v>-4430</v>
      </c>
      <c r="E13" s="114">
        <v>-10509</v>
      </c>
      <c r="F13" s="142">
        <v>-20975</v>
      </c>
      <c r="G13" s="114">
        <v>3132</v>
      </c>
      <c r="H13" s="136">
        <v>7467</v>
      </c>
      <c r="I13" s="197">
        <f>4981-89</f>
        <v>4892</v>
      </c>
      <c r="J13" s="216">
        <v>7169</v>
      </c>
      <c r="K13" s="216">
        <v>-3098</v>
      </c>
      <c r="L13" s="216">
        <v>3132</v>
      </c>
      <c r="M13" s="200">
        <v>5396</v>
      </c>
      <c r="N13" s="235">
        <v>11027</v>
      </c>
      <c r="O13" s="235">
        <v>16929</v>
      </c>
      <c r="P13" s="114">
        <v>7467</v>
      </c>
      <c r="Q13" s="292">
        <v>-8629</v>
      </c>
    </row>
    <row r="14" spans="1:17" ht="24.95" customHeight="1">
      <c r="A14" s="2"/>
      <c r="B14" s="54" t="s">
        <v>76</v>
      </c>
      <c r="C14" s="128">
        <v>9028</v>
      </c>
      <c r="D14" s="114">
        <v>4107</v>
      </c>
      <c r="E14" s="114">
        <v>2355</v>
      </c>
      <c r="F14" s="114">
        <v>10064</v>
      </c>
      <c r="G14" s="114">
        <v>-679</v>
      </c>
      <c r="H14" s="136">
        <v>-9606</v>
      </c>
      <c r="I14" s="197">
        <f>-8636-229</f>
        <v>-8865</v>
      </c>
      <c r="J14" s="216">
        <f>-649-229</f>
        <v>-878</v>
      </c>
      <c r="K14" s="216">
        <f>-596-229</f>
        <v>-825</v>
      </c>
      <c r="L14" s="216">
        <v>-679</v>
      </c>
      <c r="M14" s="200">
        <v>-1588</v>
      </c>
      <c r="N14" s="235">
        <v>-12414</v>
      </c>
      <c r="O14" s="235">
        <v>-11683</v>
      </c>
      <c r="P14" s="114">
        <v>-9606</v>
      </c>
      <c r="Q14" s="290">
        <v>6793</v>
      </c>
    </row>
    <row r="15" spans="1:17" ht="24.95" customHeight="1">
      <c r="A15" s="2"/>
      <c r="B15" s="54" t="s">
        <v>172</v>
      </c>
      <c r="C15" s="128"/>
      <c r="D15" s="114">
        <v>0</v>
      </c>
      <c r="E15" s="114">
        <v>0</v>
      </c>
      <c r="F15" s="114">
        <v>0</v>
      </c>
      <c r="G15" s="114">
        <v>2121</v>
      </c>
      <c r="H15" s="136">
        <v>4430</v>
      </c>
      <c r="I15" s="197">
        <v>-4009</v>
      </c>
      <c r="J15" s="114">
        <v>-7021</v>
      </c>
      <c r="K15" s="114">
        <f>-3133</f>
        <v>-3133</v>
      </c>
      <c r="L15" s="114">
        <v>2121</v>
      </c>
      <c r="M15" s="106">
        <v>4509</v>
      </c>
      <c r="N15" s="188">
        <v>-1051</v>
      </c>
      <c r="O15" s="188">
        <v>-2848</v>
      </c>
      <c r="P15" s="114">
        <v>4430</v>
      </c>
      <c r="Q15" s="290">
        <v>5692</v>
      </c>
    </row>
    <row r="16" spans="1:17" ht="24.95" customHeight="1">
      <c r="A16" s="2"/>
      <c r="B16" s="54" t="s">
        <v>77</v>
      </c>
      <c r="C16" s="128">
        <v>2228</v>
      </c>
      <c r="D16" s="114">
        <v>363</v>
      </c>
      <c r="E16" s="114">
        <v>-192</v>
      </c>
      <c r="F16" s="115">
        <v>-909</v>
      </c>
      <c r="G16" s="115">
        <v>-2203</v>
      </c>
      <c r="H16" s="104">
        <v>-2220</v>
      </c>
      <c r="I16" s="197">
        <f>170</f>
        <v>170</v>
      </c>
      <c r="J16" s="216">
        <v>484</v>
      </c>
      <c r="K16" s="216">
        <v>499</v>
      </c>
      <c r="L16" s="115">
        <v>-2203</v>
      </c>
      <c r="M16" s="234">
        <v>-492</v>
      </c>
      <c r="N16" s="236">
        <v>210</v>
      </c>
      <c r="O16" s="236">
        <v>-688</v>
      </c>
      <c r="P16" s="115">
        <v>-2220</v>
      </c>
      <c r="Q16" s="293">
        <v>738</v>
      </c>
    </row>
    <row r="17" spans="1:27" ht="24.95" customHeight="1">
      <c r="A17" s="2"/>
      <c r="B17" s="81" t="s">
        <v>115</v>
      </c>
      <c r="C17" s="150">
        <v>271</v>
      </c>
      <c r="D17" s="115">
        <v>1569</v>
      </c>
      <c r="E17" s="115">
        <v>-2408</v>
      </c>
      <c r="F17" s="114">
        <v>3726</v>
      </c>
      <c r="G17" s="114">
        <v>-498</v>
      </c>
      <c r="H17" s="136">
        <v>659</v>
      </c>
      <c r="I17" s="197">
        <f>-266-74</f>
        <v>-340</v>
      </c>
      <c r="J17" s="216">
        <f>-1009-336</f>
        <v>-1345</v>
      </c>
      <c r="K17" s="216">
        <f>-397-1432</f>
        <v>-1829</v>
      </c>
      <c r="L17" s="216">
        <v>-498</v>
      </c>
      <c r="M17" s="107">
        <v>-2762</v>
      </c>
      <c r="N17" s="189">
        <v>-2713</v>
      </c>
      <c r="O17" s="189">
        <v>-441</v>
      </c>
      <c r="P17" s="114">
        <v>659</v>
      </c>
      <c r="Q17" s="294">
        <v>-1819</v>
      </c>
    </row>
    <row r="18" spans="1:27">
      <c r="A18" s="2"/>
      <c r="B18" s="55" t="s">
        <v>78</v>
      </c>
      <c r="C18" s="141">
        <f t="shared" ref="C18:H18" si="0">SUM(C9:C17)</f>
        <v>11230</v>
      </c>
      <c r="D18" s="113">
        <f t="shared" si="0"/>
        <v>3527</v>
      </c>
      <c r="E18" s="113">
        <f t="shared" si="0"/>
        <v>-5321</v>
      </c>
      <c r="F18" s="113">
        <f t="shared" si="0"/>
        <v>-1202</v>
      </c>
      <c r="G18" s="113">
        <f t="shared" ref="G18" si="1">SUM(G9:G17)</f>
        <v>21331</v>
      </c>
      <c r="H18" s="137">
        <f t="shared" si="0"/>
        <v>16359</v>
      </c>
      <c r="I18" s="141">
        <f t="shared" ref="I18:K18" si="2">SUM(I9:I17)</f>
        <v>-3202</v>
      </c>
      <c r="J18" s="113">
        <f t="shared" si="2"/>
        <v>8838</v>
      </c>
      <c r="K18" s="113">
        <f t="shared" si="2"/>
        <v>7153</v>
      </c>
      <c r="L18" s="113">
        <f t="shared" ref="L18" si="3">SUM(L9:L17)</f>
        <v>21331</v>
      </c>
      <c r="M18" s="141">
        <f t="shared" ref="M18:N18" si="4">SUM(M9:M17)</f>
        <v>6088</v>
      </c>
      <c r="N18" s="113">
        <f t="shared" si="4"/>
        <v>2367</v>
      </c>
      <c r="O18" s="113">
        <f>SUM(O9:O17)</f>
        <v>10965</v>
      </c>
      <c r="P18" s="113">
        <f t="shared" ref="P18" si="5">SUM(P9:P17)</f>
        <v>16359</v>
      </c>
      <c r="Q18" s="295">
        <v>-921</v>
      </c>
      <c r="R18" s="322"/>
      <c r="S18" s="322"/>
      <c r="T18" s="322"/>
      <c r="U18" s="322"/>
      <c r="V18" s="322"/>
      <c r="W18" s="322"/>
      <c r="X18" s="322"/>
      <c r="Y18" s="85"/>
      <c r="Z18" s="85"/>
      <c r="AA18" s="85"/>
    </row>
    <row r="19" spans="1:27" ht="24.95" customHeight="1" thickBot="1">
      <c r="A19" s="2"/>
      <c r="B19" s="53" t="s">
        <v>79</v>
      </c>
      <c r="C19" s="130">
        <v>-1242</v>
      </c>
      <c r="D19" s="148">
        <v>-435</v>
      </c>
      <c r="E19" s="148">
        <v>-1856</v>
      </c>
      <c r="F19" s="116">
        <v>-5821</v>
      </c>
      <c r="G19" s="148">
        <v>-6782</v>
      </c>
      <c r="H19" s="143">
        <v>-6559</v>
      </c>
      <c r="I19" s="130">
        <v>-482</v>
      </c>
      <c r="J19" s="148">
        <v>-2754</v>
      </c>
      <c r="K19" s="148">
        <v>-5567</v>
      </c>
      <c r="L19" s="148">
        <v>-6782</v>
      </c>
      <c r="M19" s="110">
        <v>-1535</v>
      </c>
      <c r="N19" s="191">
        <v>-2878</v>
      </c>
      <c r="O19" s="186">
        <v>-5596</v>
      </c>
      <c r="P19" s="148">
        <v>-6559</v>
      </c>
      <c r="Q19" s="296">
        <v>-1824</v>
      </c>
      <c r="R19" s="322"/>
      <c r="S19" s="322"/>
      <c r="T19" s="322"/>
      <c r="U19" s="322"/>
      <c r="V19" s="322"/>
      <c r="W19" s="322"/>
      <c r="X19" s="322"/>
      <c r="Y19" s="85"/>
      <c r="Z19" s="85"/>
      <c r="AA19" s="85"/>
    </row>
    <row r="20" spans="1:27" ht="24.95" customHeight="1" thickBot="1">
      <c r="A20" s="2"/>
      <c r="B20" s="55" t="s">
        <v>116</v>
      </c>
      <c r="C20" s="111">
        <f t="shared" ref="C20:H20" si="6">C7+C18+C19</f>
        <v>20144</v>
      </c>
      <c r="D20" s="102">
        <f t="shared" si="6"/>
        <v>12295</v>
      </c>
      <c r="E20" s="102">
        <f t="shared" si="6"/>
        <v>7863</v>
      </c>
      <c r="F20" s="102">
        <f t="shared" si="6"/>
        <v>13998</v>
      </c>
      <c r="G20" s="102">
        <f t="shared" ref="G20" si="7">G7+G18+G19</f>
        <v>43951</v>
      </c>
      <c r="H20" s="103">
        <f t="shared" si="6"/>
        <v>44851</v>
      </c>
      <c r="I20" s="111">
        <f t="shared" ref="I20:L20" si="8">I7+I18+I19</f>
        <v>2838</v>
      </c>
      <c r="J20" s="102">
        <f t="shared" si="8"/>
        <v>21798</v>
      </c>
      <c r="K20" s="102">
        <f t="shared" si="8"/>
        <v>26260</v>
      </c>
      <c r="L20" s="102">
        <f t="shared" si="8"/>
        <v>43951</v>
      </c>
      <c r="M20" s="111">
        <f t="shared" ref="M20:N20" si="9">M7+M18+M19</f>
        <v>15057</v>
      </c>
      <c r="N20" s="102">
        <f t="shared" si="9"/>
        <v>21710</v>
      </c>
      <c r="O20" s="102">
        <f>O7+O18+O19</f>
        <v>37792</v>
      </c>
      <c r="P20" s="102">
        <f t="shared" ref="P20" si="10">P7+P18+P19</f>
        <v>44851</v>
      </c>
      <c r="Q20" s="297">
        <v>7487</v>
      </c>
    </row>
    <row r="21" spans="1:27" ht="24.95" customHeight="1">
      <c r="A21" s="4"/>
      <c r="B21" s="52" t="s">
        <v>80</v>
      </c>
      <c r="C21" s="42"/>
      <c r="D21" s="41"/>
      <c r="E21" s="41"/>
      <c r="F21" s="33"/>
      <c r="G21" s="215"/>
      <c r="H21" s="45"/>
      <c r="I21" s="64"/>
      <c r="J21" s="22"/>
      <c r="K21" s="22"/>
      <c r="L21" s="215"/>
      <c r="M21" s="96"/>
      <c r="N21" s="192"/>
      <c r="O21" s="192"/>
      <c r="P21" s="215"/>
      <c r="Q21" s="298"/>
    </row>
    <row r="22" spans="1:27" ht="24.95" customHeight="1">
      <c r="A22" s="2"/>
      <c r="B22" s="53" t="s">
        <v>81</v>
      </c>
      <c r="C22" s="131">
        <v>-2916</v>
      </c>
      <c r="D22" s="101">
        <v>-24790</v>
      </c>
      <c r="E22" s="101">
        <v>-12885</v>
      </c>
      <c r="F22" s="101">
        <v>-11698</v>
      </c>
      <c r="G22" s="101">
        <v>-14389</v>
      </c>
      <c r="H22" s="99">
        <v>-19979</v>
      </c>
      <c r="I22" s="131">
        <v>-4430</v>
      </c>
      <c r="J22" s="101">
        <v>-9352</v>
      </c>
      <c r="K22" s="101">
        <v>-11400</v>
      </c>
      <c r="L22" s="101">
        <v>-14389</v>
      </c>
      <c r="M22" s="109">
        <v>-2862</v>
      </c>
      <c r="N22" s="186">
        <v>-4664</v>
      </c>
      <c r="O22" s="186">
        <v>-14980</v>
      </c>
      <c r="P22" s="101">
        <v>-19979</v>
      </c>
      <c r="Q22" s="288">
        <v>-4723</v>
      </c>
    </row>
    <row r="23" spans="1:27" ht="24.95" customHeight="1">
      <c r="A23" s="2"/>
      <c r="B23" s="53" t="s">
        <v>153</v>
      </c>
      <c r="C23" s="131">
        <v>-14761</v>
      </c>
      <c r="D23" s="101">
        <v>0</v>
      </c>
      <c r="E23" s="101">
        <v>-8</v>
      </c>
      <c r="F23" s="101">
        <v>0</v>
      </c>
      <c r="G23" s="101">
        <v>0</v>
      </c>
      <c r="H23" s="99">
        <v>0</v>
      </c>
      <c r="I23" s="131">
        <v>0</v>
      </c>
      <c r="J23" s="101">
        <v>0</v>
      </c>
      <c r="K23" s="101">
        <v>0</v>
      </c>
      <c r="L23" s="101">
        <v>0</v>
      </c>
      <c r="M23" s="109">
        <v>0</v>
      </c>
      <c r="N23" s="186">
        <v>0</v>
      </c>
      <c r="O23" s="186">
        <v>0</v>
      </c>
      <c r="P23" s="101">
        <v>0</v>
      </c>
      <c r="Q23" s="288">
        <v>0</v>
      </c>
    </row>
    <row r="24" spans="1:27" ht="24.95" customHeight="1">
      <c r="A24" s="2"/>
      <c r="B24" s="53" t="s">
        <v>154</v>
      </c>
      <c r="C24" s="131">
        <v>0</v>
      </c>
      <c r="D24" s="101">
        <v>-50</v>
      </c>
      <c r="E24" s="101">
        <v>0</v>
      </c>
      <c r="F24" s="101">
        <v>0</v>
      </c>
      <c r="G24" s="101">
        <v>0</v>
      </c>
      <c r="H24" s="99">
        <v>0</v>
      </c>
      <c r="I24" s="131">
        <v>0</v>
      </c>
      <c r="J24" s="101">
        <v>0</v>
      </c>
      <c r="K24" s="101">
        <v>0</v>
      </c>
      <c r="L24" s="101">
        <v>0</v>
      </c>
      <c r="M24" s="109">
        <v>0</v>
      </c>
      <c r="N24" s="186">
        <v>0</v>
      </c>
      <c r="O24" s="186">
        <v>0</v>
      </c>
      <c r="P24" s="101">
        <v>0</v>
      </c>
      <c r="Q24" s="288">
        <v>0</v>
      </c>
    </row>
    <row r="25" spans="1:27" ht="24.95" customHeight="1">
      <c r="A25" s="2"/>
      <c r="B25" s="158" t="s">
        <v>117</v>
      </c>
      <c r="C25" s="131">
        <v>0</v>
      </c>
      <c r="D25" s="98">
        <v>1352</v>
      </c>
      <c r="E25" s="98">
        <v>1811</v>
      </c>
      <c r="F25" s="98">
        <v>536</v>
      </c>
      <c r="G25" s="98">
        <v>705</v>
      </c>
      <c r="H25" s="100">
        <v>0</v>
      </c>
      <c r="I25" s="132">
        <v>157</v>
      </c>
      <c r="J25" s="98">
        <v>304</v>
      </c>
      <c r="K25" s="98">
        <v>408</v>
      </c>
      <c r="L25" s="98">
        <v>705</v>
      </c>
      <c r="M25" s="110">
        <v>305</v>
      </c>
      <c r="N25" s="191">
        <v>460</v>
      </c>
      <c r="O25" s="191">
        <v>573</v>
      </c>
      <c r="P25" s="98">
        <v>0</v>
      </c>
      <c r="Q25" s="299">
        <v>0</v>
      </c>
      <c r="R25" s="84"/>
    </row>
    <row r="26" spans="1:27" ht="24.95" customHeight="1">
      <c r="A26" s="2"/>
      <c r="B26" s="158" t="s">
        <v>118</v>
      </c>
      <c r="C26" s="132">
        <v>15900</v>
      </c>
      <c r="D26" s="98">
        <v>1072</v>
      </c>
      <c r="E26" s="98">
        <v>12200</v>
      </c>
      <c r="F26" s="98">
        <v>813</v>
      </c>
      <c r="G26" s="98">
        <v>1138</v>
      </c>
      <c r="H26" s="100">
        <v>748</v>
      </c>
      <c r="I26" s="131">
        <v>79</v>
      </c>
      <c r="J26" s="101">
        <v>664</v>
      </c>
      <c r="K26" s="101">
        <v>749</v>
      </c>
      <c r="L26" s="98">
        <v>1138</v>
      </c>
      <c r="M26" s="110">
        <v>157</v>
      </c>
      <c r="N26" s="191">
        <v>276</v>
      </c>
      <c r="O26" s="191">
        <v>276</v>
      </c>
      <c r="P26" s="98">
        <v>748</v>
      </c>
      <c r="Q26" s="299">
        <v>171</v>
      </c>
    </row>
    <row r="27" spans="1:27" ht="24.95" customHeight="1" thickBot="1">
      <c r="A27" s="5"/>
      <c r="B27" s="53" t="s">
        <v>119</v>
      </c>
      <c r="C27" s="132">
        <v>0</v>
      </c>
      <c r="D27" s="98">
        <v>1019</v>
      </c>
      <c r="E27" s="98">
        <v>1743</v>
      </c>
      <c r="F27" s="98">
        <v>749</v>
      </c>
      <c r="G27" s="98">
        <v>991</v>
      </c>
      <c r="H27" s="100">
        <v>779</v>
      </c>
      <c r="I27" s="132">
        <v>275</v>
      </c>
      <c r="J27" s="98">
        <v>563</v>
      </c>
      <c r="K27" s="98">
        <v>701</v>
      </c>
      <c r="L27" s="98">
        <v>991</v>
      </c>
      <c r="M27" s="110">
        <v>119</v>
      </c>
      <c r="N27" s="191">
        <v>279</v>
      </c>
      <c r="O27" s="191">
        <v>595</v>
      </c>
      <c r="P27" s="98">
        <v>779</v>
      </c>
      <c r="Q27" s="299">
        <v>188</v>
      </c>
    </row>
    <row r="28" spans="1:27" ht="24.95" customHeight="1" thickBot="1">
      <c r="A28" s="2"/>
      <c r="B28" s="55" t="s">
        <v>120</v>
      </c>
      <c r="C28" s="111">
        <f t="shared" ref="C28:H28" si="11">SUM(C22:C27)</f>
        <v>-1777</v>
      </c>
      <c r="D28" s="102">
        <f t="shared" si="11"/>
        <v>-21397</v>
      </c>
      <c r="E28" s="102">
        <f t="shared" si="11"/>
        <v>2861</v>
      </c>
      <c r="F28" s="102">
        <f t="shared" si="11"/>
        <v>-9600</v>
      </c>
      <c r="G28" s="102">
        <f t="shared" ref="G28" si="12">SUM(G22:G27)</f>
        <v>-11555</v>
      </c>
      <c r="H28" s="103">
        <f t="shared" si="11"/>
        <v>-18452</v>
      </c>
      <c r="I28" s="111">
        <f t="shared" ref="I28:K28" si="13">SUM(I22:I27)</f>
        <v>-3919</v>
      </c>
      <c r="J28" s="102">
        <f t="shared" si="13"/>
        <v>-7821</v>
      </c>
      <c r="K28" s="102">
        <f t="shared" si="13"/>
        <v>-9542</v>
      </c>
      <c r="L28" s="102">
        <f t="shared" ref="L28" si="14">SUM(L22:L27)</f>
        <v>-11555</v>
      </c>
      <c r="M28" s="111">
        <f t="shared" ref="M28:N28" si="15">SUM(M22:M27)</f>
        <v>-2281</v>
      </c>
      <c r="N28" s="102">
        <f t="shared" si="15"/>
        <v>-3649</v>
      </c>
      <c r="O28" s="102">
        <f>SUM(O22:O27)</f>
        <v>-13536</v>
      </c>
      <c r="P28" s="102">
        <f t="shared" ref="P28" si="16">SUM(P22:P27)</f>
        <v>-18452</v>
      </c>
      <c r="Q28" s="297">
        <f>SUM(Q22:Q27)</f>
        <v>-4364</v>
      </c>
    </row>
    <row r="29" spans="1:27" ht="24.95" customHeight="1">
      <c r="A29" s="2"/>
      <c r="B29" s="52" t="s">
        <v>82</v>
      </c>
      <c r="C29" s="44"/>
      <c r="D29" s="37"/>
      <c r="E29" s="37"/>
      <c r="F29" s="33"/>
      <c r="G29" s="215"/>
      <c r="H29" s="45"/>
      <c r="I29" s="95"/>
      <c r="J29" s="70"/>
      <c r="K29" s="70"/>
      <c r="L29" s="215"/>
      <c r="M29" s="96"/>
      <c r="N29" s="192"/>
      <c r="O29" s="70"/>
      <c r="P29" s="215"/>
      <c r="Q29" s="298"/>
    </row>
    <row r="30" spans="1:27" ht="24.95" customHeight="1">
      <c r="A30" s="2"/>
      <c r="B30" s="53" t="s">
        <v>121</v>
      </c>
      <c r="C30" s="131">
        <v>7734</v>
      </c>
      <c r="D30" s="101">
        <v>29684</v>
      </c>
      <c r="E30" s="101">
        <v>3354</v>
      </c>
      <c r="F30" s="101">
        <v>3721</v>
      </c>
      <c r="G30" s="101">
        <v>-23362</v>
      </c>
      <c r="H30" s="99">
        <v>-3520</v>
      </c>
      <c r="I30" s="133">
        <v>3205</v>
      </c>
      <c r="J30" s="156">
        <v>-8788</v>
      </c>
      <c r="K30" s="156">
        <v>-12072</v>
      </c>
      <c r="L30" s="101">
        <v>-23362</v>
      </c>
      <c r="M30" s="109">
        <v>502</v>
      </c>
      <c r="N30" s="186">
        <v>5533</v>
      </c>
      <c r="O30" s="186">
        <v>2739</v>
      </c>
      <c r="P30" s="101">
        <v>-3520</v>
      </c>
      <c r="Q30" s="288">
        <v>6716</v>
      </c>
    </row>
    <row r="31" spans="1:27" ht="24.95" customHeight="1">
      <c r="A31" s="2"/>
      <c r="B31" s="53" t="s">
        <v>155</v>
      </c>
      <c r="C31" s="131">
        <v>0</v>
      </c>
      <c r="D31" s="101">
        <v>614</v>
      </c>
      <c r="E31" s="101">
        <v>0</v>
      </c>
      <c r="F31" s="101">
        <v>0</v>
      </c>
      <c r="G31" s="101">
        <v>0</v>
      </c>
      <c r="H31" s="99">
        <v>0</v>
      </c>
      <c r="I31" s="133"/>
      <c r="J31" s="156"/>
      <c r="K31" s="156"/>
      <c r="L31" s="101">
        <v>0</v>
      </c>
      <c r="M31" s="109">
        <v>0</v>
      </c>
      <c r="N31" s="186">
        <v>0</v>
      </c>
      <c r="O31" s="186">
        <v>0</v>
      </c>
      <c r="P31" s="101">
        <v>0</v>
      </c>
      <c r="Q31" s="288">
        <v>0</v>
      </c>
    </row>
    <row r="32" spans="1:27" ht="24.95" customHeight="1">
      <c r="A32" s="2"/>
      <c r="B32" s="53" t="s">
        <v>122</v>
      </c>
      <c r="C32" s="132">
        <v>-1063</v>
      </c>
      <c r="D32" s="98">
        <v>-5978</v>
      </c>
      <c r="E32" s="98">
        <v>-6736</v>
      </c>
      <c r="F32" s="98">
        <v>-3009</v>
      </c>
      <c r="G32" s="98">
        <v>0</v>
      </c>
      <c r="H32" s="100">
        <v>0</v>
      </c>
      <c r="I32" s="132">
        <v>-671</v>
      </c>
      <c r="J32" s="98">
        <v>-1710</v>
      </c>
      <c r="K32" s="98">
        <v>-2401</v>
      </c>
      <c r="L32" s="98">
        <v>0</v>
      </c>
      <c r="M32" s="239">
        <v>0</v>
      </c>
      <c r="N32" s="191">
        <v>-3731</v>
      </c>
      <c r="O32" s="238">
        <v>-5041</v>
      </c>
      <c r="P32" s="98">
        <v>0</v>
      </c>
      <c r="Q32" s="300"/>
    </row>
    <row r="33" spans="1:17" ht="24.95" customHeight="1">
      <c r="A33" s="2"/>
      <c r="B33" s="53" t="s">
        <v>173</v>
      </c>
      <c r="C33" s="132">
        <v>0</v>
      </c>
      <c r="D33" s="98">
        <v>0</v>
      </c>
      <c r="E33" s="98">
        <v>0</v>
      </c>
      <c r="F33" s="98">
        <v>0</v>
      </c>
      <c r="G33" s="98">
        <v>-5767</v>
      </c>
      <c r="H33" s="100">
        <v>-4244</v>
      </c>
      <c r="I33" s="132"/>
      <c r="J33" s="98"/>
      <c r="K33" s="98"/>
      <c r="L33" s="98">
        <v>-5767</v>
      </c>
      <c r="M33" s="239">
        <v>-1637</v>
      </c>
      <c r="N33" s="191">
        <v>0</v>
      </c>
      <c r="O33" s="238">
        <v>0</v>
      </c>
      <c r="P33" s="98">
        <v>-4244</v>
      </c>
      <c r="Q33" s="300">
        <v>-2415</v>
      </c>
    </row>
    <row r="34" spans="1:17" ht="24.95" customHeight="1">
      <c r="A34" s="2"/>
      <c r="B34" s="53" t="s">
        <v>123</v>
      </c>
      <c r="C34" s="131">
        <v>0</v>
      </c>
      <c r="D34" s="101">
        <v>0</v>
      </c>
      <c r="E34" s="101">
        <v>0</v>
      </c>
      <c r="F34" s="101">
        <v>0</v>
      </c>
      <c r="G34" s="101">
        <v>0</v>
      </c>
      <c r="H34" s="99">
        <v>-543</v>
      </c>
      <c r="I34" s="131">
        <v>0</v>
      </c>
      <c r="J34" s="101">
        <v>0</v>
      </c>
      <c r="K34" s="101">
        <v>0</v>
      </c>
      <c r="L34" s="101">
        <v>0</v>
      </c>
      <c r="M34" s="109">
        <v>0</v>
      </c>
      <c r="N34" s="186">
        <v>-292</v>
      </c>
      <c r="O34" s="186">
        <v>-518</v>
      </c>
      <c r="P34" s="101">
        <v>-543</v>
      </c>
      <c r="Q34" s="288">
        <v>-61</v>
      </c>
    </row>
    <row r="35" spans="1:17" ht="24.95" customHeight="1">
      <c r="A35" s="6"/>
      <c r="B35" s="53" t="s">
        <v>124</v>
      </c>
      <c r="C35" s="131">
        <v>-15972</v>
      </c>
      <c r="D35" s="101">
        <v>-7986</v>
      </c>
      <c r="E35" s="101">
        <v>-514</v>
      </c>
      <c r="F35" s="101">
        <v>-594</v>
      </c>
      <c r="G35" s="98">
        <v>-332</v>
      </c>
      <c r="H35" s="100">
        <v>-4621</v>
      </c>
      <c r="I35" s="132">
        <v>0</v>
      </c>
      <c r="J35" s="98">
        <v>-332</v>
      </c>
      <c r="K35" s="98">
        <v>-332</v>
      </c>
      <c r="L35" s="98">
        <v>-332</v>
      </c>
      <c r="M35" s="110">
        <v>0</v>
      </c>
      <c r="N35" s="191">
        <v>-510</v>
      </c>
      <c r="O35" s="191">
        <v>-4610</v>
      </c>
      <c r="P35" s="98">
        <v>-4621</v>
      </c>
      <c r="Q35" s="288">
        <v>-182</v>
      </c>
    </row>
    <row r="36" spans="1:17" ht="24.95" customHeight="1" thickBot="1">
      <c r="A36" s="2"/>
      <c r="B36" s="53" t="s">
        <v>83</v>
      </c>
      <c r="C36" s="131">
        <v>-3387</v>
      </c>
      <c r="D36" s="101">
        <v>-3874</v>
      </c>
      <c r="E36" s="101">
        <v>-4261</v>
      </c>
      <c r="F36" s="101">
        <v>-3702</v>
      </c>
      <c r="G36" s="101">
        <v>-3704</v>
      </c>
      <c r="H36" s="99">
        <v>-1997</v>
      </c>
      <c r="I36" s="131">
        <v>-892</v>
      </c>
      <c r="J36" s="101">
        <v>-1749</v>
      </c>
      <c r="K36" s="101">
        <v>-2581</v>
      </c>
      <c r="L36" s="101">
        <v>-3704</v>
      </c>
      <c r="M36" s="110">
        <v>-704</v>
      </c>
      <c r="N36" s="191">
        <v>-1376</v>
      </c>
      <c r="O36" s="186">
        <v>-2238</v>
      </c>
      <c r="P36" s="101">
        <v>-1997</v>
      </c>
      <c r="Q36" s="288">
        <v>-554</v>
      </c>
    </row>
    <row r="37" spans="1:17" ht="24.95" customHeight="1" thickBot="1">
      <c r="A37" s="5"/>
      <c r="B37" s="55" t="s">
        <v>125</v>
      </c>
      <c r="C37" s="111">
        <f t="shared" ref="C37:H37" si="17">SUM(C30:C36)</f>
        <v>-12688</v>
      </c>
      <c r="D37" s="102">
        <f t="shared" si="17"/>
        <v>12460</v>
      </c>
      <c r="E37" s="102">
        <f t="shared" si="17"/>
        <v>-8157</v>
      </c>
      <c r="F37" s="102">
        <f t="shared" si="17"/>
        <v>-3584</v>
      </c>
      <c r="G37" s="102">
        <f t="shared" ref="G37" si="18">SUM(G30:G36)</f>
        <v>-33165</v>
      </c>
      <c r="H37" s="103">
        <f t="shared" si="17"/>
        <v>-14925</v>
      </c>
      <c r="I37" s="111">
        <f t="shared" ref="I37:L37" si="19">SUM(I30:I36)</f>
        <v>1642</v>
      </c>
      <c r="J37" s="102">
        <f t="shared" si="19"/>
        <v>-12579</v>
      </c>
      <c r="K37" s="102">
        <f t="shared" si="19"/>
        <v>-17386</v>
      </c>
      <c r="L37" s="102">
        <f t="shared" si="19"/>
        <v>-33165</v>
      </c>
      <c r="M37" s="111">
        <f t="shared" ref="M37:N37" si="20">SUM(M30:M36)</f>
        <v>-1839</v>
      </c>
      <c r="N37" s="102">
        <f t="shared" si="20"/>
        <v>-376</v>
      </c>
      <c r="O37" s="102">
        <f>SUM(O30:O36)</f>
        <v>-9668</v>
      </c>
      <c r="P37" s="102">
        <f t="shared" ref="P37" si="21">SUM(P30:P36)</f>
        <v>-14925</v>
      </c>
      <c r="Q37" s="297">
        <v>3504</v>
      </c>
    </row>
    <row r="38" spans="1:17" ht="24.95" customHeight="1" thickBot="1">
      <c r="A38" s="1"/>
      <c r="B38" s="53"/>
      <c r="C38" s="42"/>
      <c r="D38" s="37"/>
      <c r="E38" s="37"/>
      <c r="F38" s="33"/>
      <c r="G38" s="215"/>
      <c r="H38" s="45"/>
      <c r="I38" s="48"/>
      <c r="J38" s="21"/>
      <c r="K38" s="21"/>
      <c r="L38" s="215"/>
      <c r="M38" s="96"/>
      <c r="N38" s="192"/>
      <c r="O38" s="192"/>
      <c r="P38" s="215"/>
      <c r="Q38" s="298"/>
    </row>
    <row r="39" spans="1:17" ht="24.95" customHeight="1" thickBot="1">
      <c r="A39" s="2"/>
      <c r="B39" s="55" t="s">
        <v>84</v>
      </c>
      <c r="C39" s="111">
        <f t="shared" ref="C39:H39" si="22">C20+C28+C37</f>
        <v>5679</v>
      </c>
      <c r="D39" s="102">
        <f t="shared" si="22"/>
        <v>3358</v>
      </c>
      <c r="E39" s="102">
        <f t="shared" si="22"/>
        <v>2567</v>
      </c>
      <c r="F39" s="102">
        <f t="shared" si="22"/>
        <v>814</v>
      </c>
      <c r="G39" s="102">
        <f t="shared" ref="G39" si="23">G20+G28+G37</f>
        <v>-769</v>
      </c>
      <c r="H39" s="103">
        <f t="shared" si="22"/>
        <v>11474</v>
      </c>
      <c r="I39" s="111">
        <f t="shared" ref="I39:L39" si="24">I20+I28+I37</f>
        <v>561</v>
      </c>
      <c r="J39" s="102">
        <f t="shared" si="24"/>
        <v>1398</v>
      </c>
      <c r="K39" s="102">
        <f t="shared" si="24"/>
        <v>-668</v>
      </c>
      <c r="L39" s="102">
        <f t="shared" si="24"/>
        <v>-769</v>
      </c>
      <c r="M39" s="111">
        <f t="shared" ref="M39:N39" si="25">M20+M28+M37</f>
        <v>10937</v>
      </c>
      <c r="N39" s="102">
        <f t="shared" si="25"/>
        <v>17685</v>
      </c>
      <c r="O39" s="102">
        <f>O20+O28+O37</f>
        <v>14588</v>
      </c>
      <c r="P39" s="102">
        <f t="shared" ref="P39" si="26">P20+P28+P37</f>
        <v>11474</v>
      </c>
      <c r="Q39" s="297">
        <v>6627</v>
      </c>
    </row>
    <row r="40" spans="1:17" ht="24.95" customHeight="1" thickBot="1">
      <c r="A40" s="2"/>
      <c r="B40" s="65" t="s">
        <v>126</v>
      </c>
      <c r="C40" s="111">
        <v>-3724</v>
      </c>
      <c r="D40" s="144">
        <v>979</v>
      </c>
      <c r="E40" s="144">
        <v>-1011</v>
      </c>
      <c r="F40" s="145">
        <v>45</v>
      </c>
      <c r="G40" s="144">
        <v>0</v>
      </c>
      <c r="H40" s="105">
        <v>0</v>
      </c>
      <c r="I40" s="112">
        <v>0</v>
      </c>
      <c r="J40" s="176">
        <v>0</v>
      </c>
      <c r="K40" s="176">
        <v>0</v>
      </c>
      <c r="L40" s="144">
        <v>0</v>
      </c>
      <c r="M40" s="112">
        <v>0</v>
      </c>
      <c r="N40" s="176">
        <v>0</v>
      </c>
      <c r="O40" s="176">
        <v>0</v>
      </c>
      <c r="P40" s="144">
        <v>0</v>
      </c>
      <c r="Q40" s="301">
        <v>0</v>
      </c>
    </row>
    <row r="41" spans="1:17" ht="24.95" customHeight="1" thickBot="1">
      <c r="A41" s="2"/>
      <c r="B41" s="55" t="s">
        <v>90</v>
      </c>
      <c r="C41" s="111">
        <f t="shared" ref="C41:F41" si="27">SUM(C39:C40)</f>
        <v>1955</v>
      </c>
      <c r="D41" s="102">
        <f t="shared" si="27"/>
        <v>4337</v>
      </c>
      <c r="E41" s="102">
        <f t="shared" si="27"/>
        <v>1556</v>
      </c>
      <c r="F41" s="102">
        <f t="shared" si="27"/>
        <v>859</v>
      </c>
      <c r="G41" s="102">
        <f t="shared" ref="G41:H41" si="28">SUM(G39:G40)</f>
        <v>-769</v>
      </c>
      <c r="H41" s="103">
        <f t="shared" si="28"/>
        <v>11474</v>
      </c>
      <c r="I41" s="111">
        <f t="shared" ref="I41:L41" si="29">SUM(I39:I40)</f>
        <v>561</v>
      </c>
      <c r="J41" s="102">
        <f t="shared" si="29"/>
        <v>1398</v>
      </c>
      <c r="K41" s="102">
        <f t="shared" si="29"/>
        <v>-668</v>
      </c>
      <c r="L41" s="102">
        <f t="shared" si="29"/>
        <v>-769</v>
      </c>
      <c r="M41" s="111">
        <f t="shared" ref="M41:N41" si="30">SUM(M39:M40)</f>
        <v>10937</v>
      </c>
      <c r="N41" s="102">
        <f t="shared" si="30"/>
        <v>17685</v>
      </c>
      <c r="O41" s="102">
        <f>SUM(O39:O40)</f>
        <v>14588</v>
      </c>
      <c r="P41" s="102">
        <f t="shared" ref="P41" si="31">SUM(P39:P40)</f>
        <v>11474</v>
      </c>
      <c r="Q41" s="297">
        <v>6627</v>
      </c>
    </row>
    <row r="42" spans="1:17" ht="24.95" customHeight="1" thickBot="1">
      <c r="A42" s="2"/>
      <c r="B42" s="53" t="s">
        <v>91</v>
      </c>
      <c r="C42" s="151">
        <v>4816</v>
      </c>
      <c r="D42" s="149">
        <v>6771</v>
      </c>
      <c r="E42" s="146">
        <v>11108</v>
      </c>
      <c r="F42" s="146">
        <v>12664</v>
      </c>
      <c r="G42" s="146">
        <v>13523</v>
      </c>
      <c r="H42" s="138">
        <v>12754</v>
      </c>
      <c r="I42" s="134">
        <v>13523</v>
      </c>
      <c r="J42" s="177">
        <v>13523</v>
      </c>
      <c r="K42" s="177">
        <v>13523</v>
      </c>
      <c r="L42" s="146">
        <v>13523</v>
      </c>
      <c r="M42" s="109">
        <v>12754</v>
      </c>
      <c r="N42" s="186">
        <v>12754</v>
      </c>
      <c r="O42" s="186">
        <v>12754</v>
      </c>
      <c r="P42" s="146">
        <v>12754</v>
      </c>
      <c r="Q42" s="302">
        <v>24228</v>
      </c>
    </row>
    <row r="43" spans="1:17" ht="24.95" customHeight="1" thickBot="1">
      <c r="A43" s="2"/>
      <c r="B43" s="56" t="s">
        <v>92</v>
      </c>
      <c r="C43" s="111">
        <v>6771</v>
      </c>
      <c r="D43" s="147">
        <v>11108</v>
      </c>
      <c r="E43" s="102">
        <v>12664</v>
      </c>
      <c r="F43" s="147">
        <v>13523</v>
      </c>
      <c r="G43" s="102">
        <v>12754</v>
      </c>
      <c r="H43" s="103">
        <v>11474</v>
      </c>
      <c r="I43" s="135">
        <v>14084</v>
      </c>
      <c r="J43" s="173">
        <v>14921</v>
      </c>
      <c r="K43" s="173">
        <v>12855</v>
      </c>
      <c r="L43" s="102">
        <v>12754</v>
      </c>
      <c r="M43" s="135">
        <v>23691</v>
      </c>
      <c r="N43" s="173">
        <v>30439</v>
      </c>
      <c r="O43" s="102">
        <v>27342</v>
      </c>
      <c r="P43" s="102">
        <v>24228</v>
      </c>
      <c r="Q43" s="303">
        <v>30855</v>
      </c>
    </row>
    <row r="44" spans="1:17" ht="24.95" customHeight="1">
      <c r="A44" s="2"/>
      <c r="B44" s="57"/>
      <c r="C44" s="20"/>
      <c r="D44" s="20"/>
      <c r="E44" s="20"/>
      <c r="F44" s="20"/>
      <c r="G44" s="20"/>
      <c r="H44" s="20"/>
      <c r="I44" s="21"/>
      <c r="J44" s="21"/>
      <c r="K44" s="21"/>
      <c r="L44" s="21"/>
      <c r="M44" s="21"/>
      <c r="N44" s="21"/>
      <c r="O44" s="21"/>
      <c r="P44" s="21"/>
      <c r="Q44" s="19"/>
    </row>
    <row r="45" spans="1:17">
      <c r="I45" s="233"/>
      <c r="J45" s="233"/>
      <c r="K45" s="233"/>
      <c r="L45" s="233"/>
      <c r="M45" s="233"/>
      <c r="N45" s="233"/>
      <c r="O45" s="233"/>
      <c r="P45" s="233"/>
    </row>
  </sheetData>
  <mergeCells count="6">
    <mergeCell ref="R18:X19"/>
    <mergeCell ref="E1:M1"/>
    <mergeCell ref="D4:F4"/>
    <mergeCell ref="B4:B5"/>
    <mergeCell ref="I4:L4"/>
    <mergeCell ref="M4:P4"/>
  </mergeCells>
  <pageMargins left="0.43307086614173229" right="0.31496062992125984" top="0.74803149606299213" bottom="0.74803149606299213" header="0.31496062992125984" footer="0.31496062992125984"/>
  <pageSetup paperSize="9" scale="54" orientation="portrait" horizontalDpi="300" verticalDpi="300" r:id="rId1"/>
  <rowBreaks count="2" manualBreakCount="2">
    <brk id="44" max="16383" man="1"/>
    <brk id="62" max="16383" man="1"/>
  </rowBreaks>
  <colBreaks count="1" manualBreakCount="1">
    <brk id="17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1"/>
  <sheetViews>
    <sheetView workbookViewId="0">
      <selection activeCell="P22" sqref="P22"/>
    </sheetView>
  </sheetViews>
  <sheetFormatPr defaultColWidth="8.875" defaultRowHeight="14.25"/>
  <cols>
    <col min="1" max="1" width="5.125" customWidth="1"/>
    <col min="2" max="2" width="35.375" customWidth="1"/>
    <col min="3" max="8" width="10.625" customWidth="1"/>
    <col min="9" max="9" width="11.375" customWidth="1"/>
    <col min="10" max="12" width="10.625" customWidth="1"/>
  </cols>
  <sheetData>
    <row r="1" spans="1:19" ht="73.5" customHeight="1">
      <c r="B1" s="7"/>
      <c r="C1" s="327"/>
      <c r="D1" s="327"/>
      <c r="E1" s="327"/>
      <c r="F1" s="32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9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5">
      <c r="A4" s="7"/>
      <c r="B4" s="7"/>
      <c r="C4" s="328"/>
      <c r="D4" s="328"/>
      <c r="E4" s="32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5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207"/>
      <c r="N8" s="7"/>
      <c r="O8" s="7"/>
      <c r="P8" s="7"/>
      <c r="Q8" s="7"/>
      <c r="R8" s="7"/>
      <c r="S8" s="7"/>
    </row>
    <row r="9" spans="1:19" ht="15">
      <c r="A9" s="7"/>
      <c r="B9" s="86"/>
      <c r="C9" s="88" t="s">
        <v>100</v>
      </c>
      <c r="D9" s="89" t="s">
        <v>101</v>
      </c>
      <c r="E9" s="89" t="s">
        <v>102</v>
      </c>
      <c r="F9" s="89" t="s">
        <v>103</v>
      </c>
      <c r="G9" s="89" t="s">
        <v>96</v>
      </c>
      <c r="H9" s="89" t="s">
        <v>97</v>
      </c>
      <c r="I9" s="89" t="s">
        <v>98</v>
      </c>
      <c r="J9" s="89" t="s">
        <v>104</v>
      </c>
      <c r="K9" s="89" t="s">
        <v>106</v>
      </c>
      <c r="L9" s="89" t="s">
        <v>99</v>
      </c>
      <c r="M9" s="206" t="s">
        <v>159</v>
      </c>
      <c r="N9" s="90" t="s">
        <v>160</v>
      </c>
      <c r="O9" s="7"/>
      <c r="P9" s="7"/>
      <c r="Q9" s="7"/>
      <c r="R9" s="7"/>
      <c r="S9" s="7"/>
    </row>
    <row r="10" spans="1:19" ht="15">
      <c r="A10" s="7"/>
      <c r="B10" s="205" t="s">
        <v>158</v>
      </c>
      <c r="C10" s="202">
        <v>41.4</v>
      </c>
      <c r="D10" s="201">
        <v>50.4</v>
      </c>
      <c r="E10" s="201">
        <v>52.4</v>
      </c>
      <c r="F10" s="305">
        <v>42</v>
      </c>
      <c r="G10" s="201">
        <v>37.4</v>
      </c>
      <c r="H10" s="201">
        <v>39.9</v>
      </c>
      <c r="I10" s="201"/>
      <c r="J10" s="201"/>
      <c r="K10" s="201"/>
      <c r="L10" s="201"/>
      <c r="M10" s="201"/>
      <c r="N10" s="29"/>
      <c r="O10" s="7"/>
      <c r="P10" s="7"/>
      <c r="Q10" s="7"/>
      <c r="R10" s="7"/>
      <c r="S10" s="7"/>
    </row>
    <row r="11" spans="1:19" ht="15">
      <c r="A11" s="7"/>
      <c r="B11" s="205" t="s">
        <v>156</v>
      </c>
      <c r="C11" s="202">
        <v>27.7</v>
      </c>
      <c r="D11" s="201">
        <v>31.9</v>
      </c>
      <c r="E11" s="201">
        <v>30.4</v>
      </c>
      <c r="F11" s="201">
        <v>36.799999999999997</v>
      </c>
      <c r="G11" s="201">
        <v>35.700000000000003</v>
      </c>
      <c r="H11" s="201">
        <v>38.299999999999997</v>
      </c>
      <c r="I11" s="201">
        <v>31.9</v>
      </c>
      <c r="J11" s="201">
        <v>29.3</v>
      </c>
      <c r="K11" s="201">
        <v>47.6</v>
      </c>
      <c r="L11" s="201">
        <v>26.5</v>
      </c>
      <c r="M11" s="201">
        <v>31.8</v>
      </c>
      <c r="N11" s="29">
        <v>50.5</v>
      </c>
      <c r="O11" s="7"/>
      <c r="P11" s="7"/>
      <c r="Q11" s="7"/>
      <c r="R11" s="7"/>
      <c r="S11" s="7"/>
    </row>
    <row r="12" spans="1:19" ht="15.75" thickBot="1">
      <c r="A12" s="7"/>
      <c r="B12" s="205" t="s">
        <v>157</v>
      </c>
      <c r="C12" s="203">
        <v>43.3</v>
      </c>
      <c r="D12" s="87">
        <v>30.9</v>
      </c>
      <c r="E12" s="87">
        <v>35.9</v>
      </c>
      <c r="F12" s="87">
        <v>38.799999999999997</v>
      </c>
      <c r="G12" s="87">
        <v>26.5</v>
      </c>
      <c r="H12" s="87">
        <v>34.700000000000003</v>
      </c>
      <c r="I12" s="204">
        <v>42.6</v>
      </c>
      <c r="J12" s="87">
        <v>26.9</v>
      </c>
      <c r="K12" s="87">
        <v>24.9</v>
      </c>
      <c r="L12" s="87">
        <v>30.6</v>
      </c>
      <c r="M12" s="204">
        <v>28</v>
      </c>
      <c r="N12" s="93">
        <v>41.6</v>
      </c>
      <c r="O12" s="7"/>
      <c r="P12" s="7"/>
      <c r="Q12" s="7"/>
      <c r="R12" s="7"/>
      <c r="S12" s="7"/>
    </row>
    <row r="13" spans="1:19">
      <c r="A13" s="7"/>
      <c r="B13" s="7"/>
      <c r="M13" s="7"/>
      <c r="N13" s="7"/>
      <c r="O13" s="7"/>
      <c r="P13" s="7"/>
      <c r="Q13" s="7"/>
      <c r="R13" s="7"/>
      <c r="S13" s="7"/>
    </row>
    <row r="14" spans="1:19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9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9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9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9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9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9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9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9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9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9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9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9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1:17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1:17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1:17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1:17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1:17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7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1:17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1:17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1:17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1:17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1:17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1:17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1:17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1:1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1:17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1:17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1:17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1:17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1:17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1:17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1:17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1:17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1:17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1:1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1:17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1:17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1:17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1:17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1:17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1:17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1:17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1:17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1:17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1:1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</row>
    <row r="248" spans="1:17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1:17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1:17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1:17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1:17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3" spans="1:17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</row>
    <row r="254" spans="1:17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</row>
    <row r="255" spans="1:17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</row>
    <row r="256" spans="1:17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</row>
    <row r="257" spans="1:1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</row>
    <row r="258" spans="1:17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</row>
    <row r="259" spans="1:17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</row>
    <row r="260" spans="1:17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</row>
    <row r="261" spans="1:17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</row>
    <row r="262" spans="1:17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</row>
    <row r="263" spans="1:17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</row>
    <row r="264" spans="1:17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</row>
    <row r="265" spans="1:17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</row>
    <row r="266" spans="1:17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</row>
    <row r="267" spans="1:1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1:17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</row>
    <row r="269" spans="1:17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1:17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1:17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</row>
    <row r="272" spans="1:17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</row>
    <row r="273" spans="1:17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</row>
    <row r="274" spans="1:17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</row>
    <row r="275" spans="1:17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</row>
    <row r="276" spans="1:17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</row>
    <row r="277" spans="1:1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</row>
    <row r="278" spans="1:17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</row>
    <row r="279" spans="1:17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</row>
    <row r="280" spans="1:17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1:17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</row>
    <row r="282" spans="1:17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</row>
    <row r="283" spans="1:17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</row>
    <row r="284" spans="1:17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1:17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</row>
    <row r="286" spans="1:17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1:1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1:17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</row>
    <row r="289" spans="1:17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</row>
    <row r="290" spans="1:17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</row>
    <row r="291" spans="1:17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</row>
    <row r="292" spans="1:17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</row>
    <row r="293" spans="1:17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</row>
    <row r="294" spans="1:17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</row>
    <row r="295" spans="1:17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</row>
    <row r="296" spans="1:17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</row>
    <row r="297" spans="1:1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</row>
    <row r="298" spans="1:17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</row>
    <row r="299" spans="1:17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</row>
    <row r="300" spans="1:17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</row>
    <row r="301" spans="1:17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</row>
    <row r="302" spans="1:17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</row>
    <row r="303" spans="1:17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</row>
    <row r="304" spans="1:17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</row>
    <row r="305" spans="1:17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</row>
    <row r="306" spans="1:17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</row>
    <row r="307" spans="1:1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</row>
    <row r="308" spans="1:17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</row>
    <row r="309" spans="1:17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</row>
    <row r="310" spans="1:17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</row>
    <row r="311" spans="1:17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</row>
    <row r="312" spans="1:17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</row>
    <row r="313" spans="1:17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</row>
    <row r="314" spans="1:17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</row>
    <row r="315" spans="1:17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</row>
    <row r="316" spans="1:17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</row>
    <row r="317" spans="1: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</row>
    <row r="318" spans="1:17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</row>
    <row r="319" spans="1:17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</row>
    <row r="320" spans="1:17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</row>
    <row r="321" spans="1:17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</row>
    <row r="322" spans="1:17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</row>
    <row r="323" spans="1:17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</row>
    <row r="324" spans="1:17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</row>
    <row r="325" spans="1:17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</row>
    <row r="326" spans="1:17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</row>
    <row r="327" spans="1:1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</row>
    <row r="328" spans="1:17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</row>
    <row r="329" spans="1:17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</row>
    <row r="330" spans="1:17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</row>
    <row r="331" spans="1:17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</row>
    <row r="332" spans="1:17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</row>
    <row r="333" spans="1:17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</row>
    <row r="334" spans="1:17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</row>
    <row r="335" spans="1:17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</row>
    <row r="336" spans="1:17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</row>
    <row r="337" spans="1:1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</row>
    <row r="338" spans="1:17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</row>
    <row r="339" spans="1:17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</row>
    <row r="340" spans="1:17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</row>
    <row r="341" spans="1:17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</row>
    <row r="342" spans="1:17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</row>
    <row r="343" spans="1:17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</row>
    <row r="344" spans="1:17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</row>
    <row r="345" spans="1:17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</row>
    <row r="346" spans="1:17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</row>
    <row r="347" spans="1:1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</row>
    <row r="348" spans="1:17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</row>
    <row r="349" spans="1:17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</row>
    <row r="350" spans="1:17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</row>
    <row r="351" spans="1:17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</row>
    <row r="352" spans="1:17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</row>
    <row r="353" spans="1:17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</row>
    <row r="354" spans="1:17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</row>
    <row r="355" spans="1:17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</row>
    <row r="356" spans="1:17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</row>
    <row r="357" spans="1:1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</row>
    <row r="358" spans="1:17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</row>
    <row r="359" spans="1:17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</row>
    <row r="360" spans="1:17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</row>
    <row r="361" spans="1:17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</row>
    <row r="362" spans="1:17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</row>
    <row r="363" spans="1:17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</row>
    <row r="364" spans="1:17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</row>
    <row r="365" spans="1:17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</row>
    <row r="366" spans="1:17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</row>
    <row r="367" spans="1:1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</row>
    <row r="368" spans="1:17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</row>
    <row r="369" spans="1:17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</row>
    <row r="370" spans="1:17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</row>
    <row r="371" spans="1:17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</row>
    <row r="372" spans="1:17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</row>
    <row r="373" spans="1:17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</row>
    <row r="374" spans="1:17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</row>
    <row r="375" spans="1:17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</row>
    <row r="376" spans="1:17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</row>
    <row r="377" spans="1:1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</row>
    <row r="378" spans="1:17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</row>
    <row r="379" spans="1:17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</row>
    <row r="380" spans="1:17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</row>
    <row r="381" spans="1:17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</row>
    <row r="382" spans="1:17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</row>
    <row r="383" spans="1:17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</row>
    <row r="384" spans="1:17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</row>
    <row r="385" spans="1:17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</row>
    <row r="386" spans="1:17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</row>
    <row r="387" spans="1:1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</row>
    <row r="388" spans="1:17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</row>
    <row r="389" spans="1:17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</row>
    <row r="390" spans="1:17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</row>
    <row r="391" spans="1:17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</row>
    <row r="392" spans="1:17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</row>
    <row r="393" spans="1:17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</row>
    <row r="394" spans="1:17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</row>
    <row r="395" spans="1:17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</row>
    <row r="396" spans="1:17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</row>
    <row r="397" spans="1:1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</row>
    <row r="398" spans="1:17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</row>
    <row r="399" spans="1:17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</row>
    <row r="400" spans="1:17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</row>
    <row r="401" spans="1:17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</row>
    <row r="402" spans="1:17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</row>
    <row r="403" spans="1:17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</row>
    <row r="404" spans="1:17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</row>
    <row r="405" spans="1:17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</row>
    <row r="406" spans="1:17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</row>
    <row r="407" spans="1:1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</row>
    <row r="408" spans="1:17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</row>
    <row r="409" spans="1:17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</row>
    <row r="410" spans="1:17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</row>
    <row r="411" spans="1:17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</row>
    <row r="412" spans="1:17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</row>
    <row r="413" spans="1:17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</row>
    <row r="414" spans="1:17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</row>
    <row r="415" spans="1:17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</row>
    <row r="416" spans="1:17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</row>
    <row r="417" spans="1: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</row>
    <row r="418" spans="1:17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</row>
    <row r="419" spans="1:17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</row>
    <row r="420" spans="1:17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</row>
    <row r="421" spans="1:17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</row>
    <row r="422" spans="1:17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</row>
    <row r="423" spans="1:17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</row>
    <row r="424" spans="1:17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</row>
    <row r="425" spans="1:17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</row>
    <row r="426" spans="1:17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</row>
    <row r="427" spans="1:1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</row>
    <row r="428" spans="1:17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</row>
    <row r="429" spans="1:17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</row>
    <row r="430" spans="1:17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</row>
    <row r="431" spans="1:17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</row>
    <row r="432" spans="1:17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</row>
    <row r="433" spans="1:17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</row>
    <row r="434" spans="1:17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</row>
    <row r="435" spans="1:17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</row>
    <row r="436" spans="1:17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</row>
    <row r="437" spans="1:1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</row>
    <row r="438" spans="1:17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</row>
    <row r="439" spans="1:17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</row>
    <row r="440" spans="1:17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</row>
    <row r="441" spans="1:17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</row>
    <row r="442" spans="1:17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</row>
    <row r="443" spans="1:17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</row>
    <row r="444" spans="1:17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</row>
    <row r="445" spans="1:17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</row>
    <row r="446" spans="1:17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</row>
    <row r="447" spans="1:1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</row>
    <row r="448" spans="1:17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</row>
    <row r="449" spans="1:17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</row>
    <row r="450" spans="1:17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</row>
    <row r="451" spans="1:17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</row>
    <row r="452" spans="1:17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</row>
    <row r="453" spans="1:17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</row>
    <row r="454" spans="1:17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</row>
    <row r="455" spans="1:17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</row>
    <row r="456" spans="1:17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</row>
    <row r="457" spans="1:1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</row>
    <row r="458" spans="1:17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</row>
    <row r="459" spans="1:17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</row>
    <row r="460" spans="1:17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</row>
    <row r="461" spans="1:17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</row>
    <row r="462" spans="1:17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</row>
    <row r="463" spans="1:17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</row>
    <row r="464" spans="1:17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</row>
    <row r="465" spans="1:17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</row>
    <row r="466" spans="1:17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</row>
    <row r="467" spans="1:1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</row>
    <row r="468" spans="1:17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</row>
    <row r="469" spans="1:17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</row>
    <row r="470" spans="1:17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</row>
    <row r="471" spans="1:17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</row>
    <row r="472" spans="1:17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</row>
    <row r="473" spans="1:17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</row>
    <row r="474" spans="1:17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</row>
    <row r="475" spans="1:17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</row>
    <row r="476" spans="1:17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</row>
    <row r="477" spans="1:1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</row>
    <row r="478" spans="1:17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</row>
    <row r="479" spans="1:17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</row>
    <row r="480" spans="1:17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</row>
    <row r="481" spans="1:17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</row>
    <row r="482" spans="1:17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</row>
    <row r="483" spans="1:17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</row>
    <row r="484" spans="1:17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</row>
    <row r="485" spans="1:17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</row>
    <row r="486" spans="1:17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</row>
    <row r="487" spans="1:1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</row>
    <row r="488" spans="1:17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</row>
    <row r="489" spans="1:17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</row>
    <row r="490" spans="1:17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</row>
    <row r="491" spans="1:17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</row>
    <row r="492" spans="1:17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</row>
    <row r="493" spans="1:17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</row>
    <row r="494" spans="1:17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</row>
    <row r="495" spans="1:17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</row>
    <row r="496" spans="1:17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</row>
    <row r="497" spans="1:1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</row>
    <row r="498" spans="1:17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</row>
    <row r="499" spans="1:17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</row>
    <row r="500" spans="1:17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</row>
    <row r="501" spans="1:17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</row>
    <row r="502" spans="1:17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</row>
    <row r="503" spans="1:17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</row>
    <row r="504" spans="1:17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</row>
    <row r="505" spans="1:17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</row>
    <row r="506" spans="1:17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</row>
    <row r="507" spans="1:1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</row>
    <row r="508" spans="1:17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</row>
    <row r="509" spans="1:17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</row>
    <row r="510" spans="1:17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</row>
    <row r="511" spans="1:17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</row>
    <row r="512" spans="1:17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</row>
    <row r="513" spans="1:17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</row>
    <row r="514" spans="1:17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</row>
    <row r="515" spans="1:17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</row>
    <row r="516" spans="1:17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</row>
    <row r="517" spans="1: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</row>
    <row r="518" spans="1:17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</row>
    <row r="519" spans="1:17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</row>
    <row r="520" spans="1:17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</row>
    <row r="521" spans="1:17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</row>
    <row r="522" spans="1:17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</row>
    <row r="523" spans="1:17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</row>
    <row r="524" spans="1:17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</row>
    <row r="525" spans="1:17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</row>
    <row r="526" spans="1:17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</row>
    <row r="527" spans="1:1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</row>
    <row r="528" spans="1:17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</row>
    <row r="529" spans="1:17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</row>
    <row r="530" spans="1:17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</row>
    <row r="531" spans="1:17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</row>
    <row r="532" spans="1:17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</row>
    <row r="533" spans="1:17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</row>
    <row r="534" spans="1:17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</row>
    <row r="535" spans="1:17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</row>
    <row r="536" spans="1:17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</row>
    <row r="537" spans="1:1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</row>
    <row r="538" spans="1:17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</row>
    <row r="539" spans="1:17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</row>
    <row r="540" spans="1:17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</row>
    <row r="541" spans="1:17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</row>
    <row r="542" spans="1:17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</row>
    <row r="543" spans="1:17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</row>
    <row r="544" spans="1:17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</row>
    <row r="545" spans="1:17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</row>
    <row r="546" spans="1:17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</row>
    <row r="547" spans="1:1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</row>
    <row r="548" spans="1:17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</row>
    <row r="549" spans="1:17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</row>
    <row r="550" spans="1:17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</row>
    <row r="551" spans="1:17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</row>
    <row r="552" spans="1:17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</row>
    <row r="553" spans="1:17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</row>
    <row r="554" spans="1:17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</row>
    <row r="555" spans="1:17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</row>
    <row r="556" spans="1:17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</row>
    <row r="557" spans="1:1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</row>
    <row r="558" spans="1:17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</row>
    <row r="559" spans="1:17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</row>
    <row r="560" spans="1:17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</row>
    <row r="561" spans="1:17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</row>
    <row r="562" spans="1:17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</row>
    <row r="563" spans="1:17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</row>
    <row r="564" spans="1:17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</row>
    <row r="565" spans="1:17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</row>
    <row r="566" spans="1:17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</row>
    <row r="567" spans="1:1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</row>
    <row r="568" spans="1:17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</row>
    <row r="569" spans="1:17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</row>
    <row r="570" spans="1:17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</row>
    <row r="571" spans="1:17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</row>
    <row r="572" spans="1:17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</row>
    <row r="573" spans="1:17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</row>
    <row r="574" spans="1:17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</row>
    <row r="575" spans="1:17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</row>
    <row r="576" spans="1:17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</row>
    <row r="577" spans="1:1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</row>
    <row r="578" spans="1:17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</row>
    <row r="579" spans="1:17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</row>
    <row r="580" spans="1:17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</row>
    <row r="581" spans="1:17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</row>
    <row r="582" spans="1:17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</row>
    <row r="583" spans="1:17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</row>
    <row r="584" spans="1:17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</row>
    <row r="585" spans="1:17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</row>
    <row r="586" spans="1:17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</row>
    <row r="587" spans="1:1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</row>
    <row r="588" spans="1:17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</row>
    <row r="589" spans="1:17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</row>
    <row r="590" spans="1:17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</row>
    <row r="591" spans="1:17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</row>
    <row r="592" spans="1:17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</row>
    <row r="593" spans="1:17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</row>
    <row r="594" spans="1:17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</row>
    <row r="595" spans="1:17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</row>
    <row r="596" spans="1:17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</row>
    <row r="597" spans="1:1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</row>
    <row r="598" spans="1:17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</row>
    <row r="599" spans="1:17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</row>
    <row r="600" spans="1:17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</row>
    <row r="601" spans="1:17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</row>
    <row r="602" spans="1:17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</row>
    <row r="603" spans="1:17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</row>
    <row r="604" spans="1:17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</row>
    <row r="605" spans="1:17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</row>
    <row r="606" spans="1:17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</row>
    <row r="607" spans="1:1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</row>
    <row r="608" spans="1:17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</row>
    <row r="609" spans="1:17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</row>
    <row r="610" spans="1:17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</row>
    <row r="611" spans="1:17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</row>
    <row r="612" spans="1:17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</row>
    <row r="613" spans="1:17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</row>
    <row r="614" spans="1:17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</row>
    <row r="615" spans="1:17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</row>
    <row r="616" spans="1:17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</row>
    <row r="617" spans="1: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</row>
    <row r="618" spans="1:17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</row>
    <row r="619" spans="1:17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</row>
    <row r="620" spans="1:17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</row>
    <row r="621" spans="1:17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</row>
    <row r="622" spans="1:17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</row>
    <row r="623" spans="1:17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</row>
    <row r="624" spans="1:17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</row>
    <row r="625" spans="1:17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</row>
    <row r="626" spans="1:17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</row>
    <row r="627" spans="1:1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</row>
    <row r="628" spans="1:17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</row>
    <row r="629" spans="1:17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</row>
    <row r="630" spans="1:17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</row>
    <row r="631" spans="1:17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</row>
    <row r="632" spans="1:17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</row>
    <row r="633" spans="1:17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</row>
    <row r="634" spans="1:17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</row>
    <row r="635" spans="1:17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</row>
    <row r="636" spans="1:17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</row>
    <row r="637" spans="1:1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</row>
    <row r="638" spans="1:17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</row>
    <row r="639" spans="1:17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</row>
    <row r="640" spans="1:17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</row>
    <row r="641" spans="1:17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</row>
    <row r="642" spans="1:17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</row>
    <row r="643" spans="1:17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</row>
    <row r="644" spans="1:17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</row>
    <row r="645" spans="1:17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</row>
    <row r="646" spans="1:17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</row>
    <row r="647" spans="1:1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</row>
    <row r="648" spans="1:17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</row>
    <row r="649" spans="1:17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</row>
    <row r="650" spans="1:17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</row>
    <row r="651" spans="1:17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</row>
    <row r="652" spans="1:17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</row>
    <row r="653" spans="1:17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</row>
    <row r="654" spans="1:17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</row>
    <row r="655" spans="1:17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</row>
    <row r="656" spans="1:17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</row>
    <row r="657" spans="1:1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</row>
    <row r="658" spans="1:17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</row>
    <row r="659" spans="1:17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</row>
    <row r="660" spans="1:17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</row>
    <row r="661" spans="1:17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</row>
    <row r="662" spans="1:17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</row>
    <row r="663" spans="1:17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</row>
    <row r="664" spans="1:17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</row>
    <row r="665" spans="1:17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</row>
    <row r="666" spans="1:17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</row>
    <row r="667" spans="1:1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</row>
    <row r="668" spans="1:17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</row>
    <row r="669" spans="1:17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</row>
    <row r="670" spans="1:17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</row>
    <row r="671" spans="1:17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</row>
    <row r="672" spans="1:17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</row>
    <row r="673" spans="1:17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</row>
    <row r="674" spans="1:17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</row>
    <row r="675" spans="1:17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</row>
    <row r="676" spans="1:17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</row>
    <row r="677" spans="1:1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</row>
    <row r="678" spans="1:17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</row>
    <row r="679" spans="1:17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</row>
    <row r="680" spans="1:17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</row>
    <row r="681" spans="1:17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</row>
    <row r="682" spans="1:17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</row>
    <row r="683" spans="1:17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</row>
    <row r="684" spans="1:17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</row>
    <row r="685" spans="1:17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</row>
    <row r="686" spans="1:17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</row>
    <row r="687" spans="1:1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</row>
    <row r="688" spans="1:17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</row>
    <row r="689" spans="1:17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</row>
    <row r="690" spans="1:17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</row>
    <row r="691" spans="1:17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</row>
    <row r="692" spans="1:17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</row>
    <row r="693" spans="1:17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</row>
    <row r="694" spans="1:17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</row>
    <row r="695" spans="1:17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</row>
    <row r="696" spans="1:17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</row>
    <row r="697" spans="1:1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</row>
    <row r="698" spans="1:17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</row>
    <row r="699" spans="1:17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</row>
    <row r="700" spans="1:17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</row>
    <row r="701" spans="1:17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</row>
    <row r="702" spans="1:17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</row>
    <row r="703" spans="1:17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</row>
    <row r="704" spans="1:17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</row>
    <row r="705" spans="1:17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</row>
    <row r="706" spans="1:17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</row>
    <row r="707" spans="1:1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</row>
    <row r="708" spans="1:17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</row>
    <row r="709" spans="1:17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</row>
    <row r="710" spans="1:17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</row>
    <row r="711" spans="1:17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</row>
    <row r="712" spans="1:17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</row>
    <row r="713" spans="1:17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</row>
    <row r="714" spans="1:17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</row>
    <row r="715" spans="1:17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</row>
    <row r="716" spans="1:17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</row>
    <row r="717" spans="1: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</row>
    <row r="718" spans="1:17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</row>
    <row r="719" spans="1:17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</row>
    <row r="720" spans="1:17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</row>
    <row r="721" spans="1:17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</row>
    <row r="722" spans="1:17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</row>
    <row r="723" spans="1:17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</row>
    <row r="724" spans="1:17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</row>
    <row r="725" spans="1:17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</row>
    <row r="726" spans="1:17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</row>
    <row r="727" spans="1:1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</row>
    <row r="728" spans="1:17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</row>
    <row r="729" spans="1:17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</row>
    <row r="730" spans="1:17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</row>
    <row r="731" spans="1:17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</row>
    <row r="732" spans="1:17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</row>
    <row r="733" spans="1:17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</row>
    <row r="734" spans="1:17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</row>
    <row r="735" spans="1:17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</row>
    <row r="736" spans="1:17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</row>
    <row r="737" spans="1:1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</row>
    <row r="738" spans="1:17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</row>
    <row r="739" spans="1:17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</row>
    <row r="740" spans="1:17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</row>
    <row r="741" spans="1:17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</row>
    <row r="742" spans="1:17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</row>
    <row r="743" spans="1:17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</row>
    <row r="744" spans="1:17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</row>
    <row r="745" spans="1:17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</row>
    <row r="746" spans="1:17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</row>
    <row r="747" spans="1:1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</row>
    <row r="748" spans="1:17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</row>
    <row r="749" spans="1:17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</row>
    <row r="750" spans="1:17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</row>
    <row r="751" spans="1:17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</row>
    <row r="752" spans="1:17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</row>
    <row r="753" spans="1:17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</row>
    <row r="754" spans="1:17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</row>
    <row r="755" spans="1:17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</row>
    <row r="756" spans="1:17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</row>
    <row r="757" spans="1:1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</row>
    <row r="758" spans="1:17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</row>
    <row r="759" spans="1:17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</row>
    <row r="760" spans="1:17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</row>
    <row r="761" spans="1:17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</row>
    <row r="762" spans="1:17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</row>
    <row r="763" spans="1:17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</row>
    <row r="764" spans="1:17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</row>
    <row r="765" spans="1:17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</row>
    <row r="766" spans="1:17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</row>
    <row r="767" spans="1:1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</row>
    <row r="768" spans="1:17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</row>
    <row r="769" spans="1:17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</row>
    <row r="770" spans="1:17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</row>
    <row r="771" spans="1:17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</row>
    <row r="772" spans="1:17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</row>
    <row r="773" spans="1:17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</row>
    <row r="774" spans="1:17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</row>
    <row r="775" spans="1:17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</row>
    <row r="776" spans="1:17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</row>
    <row r="777" spans="1:1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</row>
    <row r="778" spans="1:17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</row>
    <row r="779" spans="1:17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</row>
    <row r="780" spans="1:17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</row>
    <row r="781" spans="1:17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</row>
    <row r="782" spans="1:17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</row>
    <row r="783" spans="1:17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</row>
    <row r="784" spans="1:17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</row>
    <row r="785" spans="1:17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</row>
    <row r="786" spans="1:17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</row>
    <row r="787" spans="1:1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</row>
    <row r="788" spans="1:17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</row>
    <row r="789" spans="1:17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</row>
    <row r="790" spans="1:17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</row>
    <row r="791" spans="1:17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</row>
    <row r="792" spans="1:17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</row>
    <row r="793" spans="1:17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</row>
    <row r="794" spans="1:17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</row>
    <row r="795" spans="1:17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</row>
    <row r="796" spans="1:17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</row>
    <row r="797" spans="1:1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</row>
    <row r="798" spans="1:17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</row>
    <row r="799" spans="1:17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</row>
    <row r="800" spans="1:17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</row>
    <row r="801" spans="1:17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</row>
    <row r="802" spans="1:17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</row>
    <row r="803" spans="1:17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</row>
    <row r="804" spans="1:17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</row>
    <row r="805" spans="1:17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</row>
    <row r="806" spans="1:17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</row>
    <row r="807" spans="1:1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</row>
    <row r="808" spans="1:17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</row>
    <row r="809" spans="1:17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</row>
    <row r="810" spans="1:17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</row>
    <row r="811" spans="1:17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</row>
    <row r="812" spans="1:17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</row>
    <row r="813" spans="1:17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</row>
    <row r="814" spans="1:17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</row>
    <row r="815" spans="1:17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</row>
    <row r="816" spans="1:17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</row>
    <row r="817" spans="1: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</row>
    <row r="818" spans="1:17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</row>
    <row r="819" spans="1:17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</row>
    <row r="820" spans="1:17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</row>
    <row r="821" spans="1:17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</row>
    <row r="822" spans="1:17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</row>
    <row r="823" spans="1:17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</row>
    <row r="824" spans="1:17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</row>
    <row r="825" spans="1:17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</row>
    <row r="826" spans="1:17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</row>
    <row r="827" spans="1:1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</row>
    <row r="828" spans="1:17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</row>
    <row r="829" spans="1:17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</row>
    <row r="830" spans="1:17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</row>
    <row r="831" spans="1:17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</row>
    <row r="832" spans="1:17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</row>
    <row r="833" spans="1:17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</row>
    <row r="834" spans="1:17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</row>
    <row r="835" spans="1:17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</row>
    <row r="836" spans="1:17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</row>
    <row r="837" spans="1:1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</row>
    <row r="838" spans="1:17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</row>
    <row r="839" spans="1:17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</row>
    <row r="840" spans="1:17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</row>
    <row r="841" spans="1:17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</row>
    <row r="842" spans="1:17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</row>
    <row r="843" spans="1:17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</row>
    <row r="844" spans="1:17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</row>
    <row r="845" spans="1:17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</row>
    <row r="846" spans="1:17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</row>
    <row r="847" spans="1:1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</row>
    <row r="848" spans="1:17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</row>
    <row r="849" spans="1:17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</row>
    <row r="850" spans="1:17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</row>
    <row r="851" spans="1:17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</row>
    <row r="852" spans="1:17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</row>
    <row r="853" spans="1:17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</row>
    <row r="854" spans="1:17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</row>
    <row r="855" spans="1:17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</row>
    <row r="856" spans="1:17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</row>
    <row r="857" spans="1:1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</row>
    <row r="858" spans="1:17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</row>
    <row r="859" spans="1:17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</row>
    <row r="860" spans="1:17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</row>
    <row r="861" spans="1:17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</row>
    <row r="862" spans="1:17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</row>
    <row r="863" spans="1:17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</row>
    <row r="864" spans="1:17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</row>
    <row r="865" spans="1:17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</row>
    <row r="866" spans="1:17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</row>
    <row r="867" spans="1:1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</row>
    <row r="868" spans="1:17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</row>
    <row r="869" spans="1:17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</row>
    <row r="870" spans="1:17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</row>
    <row r="871" spans="1:17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</row>
    <row r="872" spans="1:17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</row>
    <row r="873" spans="1:17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</row>
    <row r="874" spans="1:17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</row>
    <row r="875" spans="1:17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</row>
    <row r="876" spans="1:17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</row>
    <row r="877" spans="1:1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</row>
    <row r="878" spans="1:17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</row>
    <row r="879" spans="1:17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</row>
    <row r="880" spans="1:17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</row>
    <row r="881" spans="1:17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</row>
    <row r="882" spans="1:17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</row>
    <row r="883" spans="1:17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</row>
    <row r="884" spans="1:17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</row>
    <row r="885" spans="1:17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</row>
    <row r="886" spans="1:17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</row>
    <row r="887" spans="1:1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</row>
    <row r="888" spans="1:17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</row>
    <row r="889" spans="1:17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</row>
    <row r="890" spans="1:17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</row>
    <row r="891" spans="1:17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</row>
    <row r="892" spans="1:17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</row>
    <row r="893" spans="1:17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</row>
    <row r="894" spans="1:17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</row>
    <row r="895" spans="1:17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</row>
    <row r="896" spans="1:17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</row>
    <row r="897" spans="1:1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</row>
    <row r="898" spans="1:17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</row>
    <row r="899" spans="1:17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</row>
    <row r="900" spans="1:17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</row>
    <row r="901" spans="1:17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</row>
    <row r="902" spans="1:17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</row>
    <row r="903" spans="1:17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</row>
    <row r="904" spans="1:17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</row>
    <row r="905" spans="1:17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</row>
    <row r="906" spans="1:17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</row>
    <row r="907" spans="1:1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</row>
    <row r="908" spans="1:17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</row>
    <row r="909" spans="1:17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</row>
    <row r="910" spans="1:17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</row>
    <row r="911" spans="1:17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</row>
    <row r="912" spans="1:17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</row>
    <row r="913" spans="1:17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</row>
    <row r="914" spans="1:17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</row>
    <row r="915" spans="1:17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</row>
    <row r="916" spans="1:17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</row>
    <row r="917" spans="1: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</row>
    <row r="918" spans="1:17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</row>
    <row r="919" spans="1:17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</row>
    <row r="920" spans="1:17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</row>
    <row r="921" spans="1:17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</row>
    <row r="922" spans="1:17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</row>
    <row r="923" spans="1:17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</row>
    <row r="924" spans="1:17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</row>
    <row r="925" spans="1:17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</row>
    <row r="926" spans="1:17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</row>
    <row r="927" spans="1:1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</row>
    <row r="928" spans="1:17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</row>
    <row r="929" spans="1:17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</row>
    <row r="930" spans="1:17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</row>
    <row r="931" spans="1:17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</row>
    <row r="932" spans="1:17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</row>
    <row r="933" spans="1:17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</row>
    <row r="934" spans="1:17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</row>
    <row r="935" spans="1:17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</row>
    <row r="936" spans="1:17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</row>
    <row r="937" spans="1:1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</row>
    <row r="938" spans="1:17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</row>
    <row r="939" spans="1:17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</row>
    <row r="940" spans="1:17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</row>
    <row r="941" spans="1:17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</row>
    <row r="942" spans="1:17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</row>
    <row r="943" spans="1:17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</row>
    <row r="944" spans="1:17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</row>
    <row r="945" spans="1:17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</row>
    <row r="946" spans="1:17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</row>
    <row r="947" spans="1:1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</row>
    <row r="948" spans="1:17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</row>
    <row r="949" spans="1:17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</row>
    <row r="950" spans="1:17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</row>
    <row r="951" spans="1:17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</row>
    <row r="952" spans="1:17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</row>
    <row r="953" spans="1:17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</row>
    <row r="954" spans="1:17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</row>
    <row r="955" spans="1:17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</row>
    <row r="956" spans="1:17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</row>
    <row r="957" spans="1:1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</row>
    <row r="958" spans="1:17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</row>
    <row r="959" spans="1:17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</row>
    <row r="960" spans="1:17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</row>
    <row r="961" spans="1:17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</row>
    <row r="962" spans="1:17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</row>
    <row r="963" spans="1:17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</row>
    <row r="964" spans="1:17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</row>
    <row r="965" spans="1:17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</row>
    <row r="966" spans="1:17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</row>
    <row r="967" spans="1:1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</row>
    <row r="968" spans="1:17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</row>
    <row r="969" spans="1:17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</row>
    <row r="970" spans="1:17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</row>
    <row r="971" spans="1:17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</row>
    <row r="972" spans="1:17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</row>
    <row r="973" spans="1:17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</row>
    <row r="974" spans="1:17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</row>
    <row r="975" spans="1:17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</row>
    <row r="976" spans="1:17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</row>
    <row r="977" spans="1:1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</row>
    <row r="978" spans="1:17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</row>
    <row r="979" spans="1:17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</row>
    <row r="980" spans="1:17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</row>
    <row r="981" spans="1:17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</row>
    <row r="982" spans="1:17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</row>
    <row r="983" spans="1:17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</row>
    <row r="984" spans="1:17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</row>
    <row r="985" spans="1:17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</row>
    <row r="986" spans="1:17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</row>
    <row r="987" spans="1:1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</row>
    <row r="988" spans="1:17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</row>
    <row r="989" spans="1:17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</row>
    <row r="990" spans="1:17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</row>
    <row r="991" spans="1:17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</row>
    <row r="992" spans="1:17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</row>
    <row r="993" spans="1:17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</row>
    <row r="994" spans="1:17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</row>
    <row r="995" spans="1:17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</row>
    <row r="996" spans="1:17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</row>
    <row r="997" spans="1:17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</row>
    <row r="998" spans="1:17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</row>
    <row r="999" spans="1:17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</row>
    <row r="1000" spans="1:17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</row>
    <row r="1001" spans="1:17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</row>
    <row r="1002" spans="1:17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</row>
    <row r="1003" spans="1:17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</row>
    <row r="1004" spans="1:17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</row>
    <row r="1005" spans="1:17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</row>
    <row r="1006" spans="1:17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</row>
    <row r="1007" spans="1:17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</row>
    <row r="1008" spans="1:17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</row>
    <row r="1009" spans="1:17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</row>
    <row r="1010" spans="1:17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</row>
    <row r="1011" spans="1:17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</row>
    <row r="1012" spans="1:17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</row>
    <row r="1013" spans="1:17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</row>
    <row r="1014" spans="1:17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</row>
    <row r="1015" spans="1:17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</row>
    <row r="1016" spans="1:17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</row>
    <row r="1017" spans="1:17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</row>
    <row r="1018" spans="1:17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</row>
    <row r="1019" spans="1:17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</row>
    <row r="1020" spans="1:17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</row>
    <row r="1021" spans="1:17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</row>
    <row r="1022" spans="1:17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</row>
    <row r="1023" spans="1:17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</row>
    <row r="1024" spans="1:17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</row>
    <row r="1025" spans="1:17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</row>
    <row r="1026" spans="1:17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</row>
    <row r="1027" spans="1:17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</row>
    <row r="1028" spans="1:17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</row>
    <row r="1029" spans="1:17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</row>
    <row r="1030" spans="1:17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</row>
    <row r="1031" spans="1:17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</row>
    <row r="1032" spans="1:17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</row>
    <row r="1033" spans="1:17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</row>
    <row r="1034" spans="1:17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</row>
    <row r="1035" spans="1:17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</row>
    <row r="1036" spans="1:17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</row>
    <row r="1037" spans="1:17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</row>
    <row r="1038" spans="1:17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</row>
    <row r="1039" spans="1:17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</row>
    <row r="1040" spans="1:17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</row>
    <row r="1041" spans="1:17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</row>
    <row r="1042" spans="1:17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</row>
    <row r="1043" spans="1:17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</row>
    <row r="1044" spans="1:17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</row>
    <row r="1045" spans="1:17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</row>
    <row r="1046" spans="1:17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</row>
    <row r="1047" spans="1:17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</row>
    <row r="1048" spans="1:17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</row>
    <row r="1049" spans="1:17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</row>
    <row r="1050" spans="1:17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</row>
    <row r="1051" spans="1:17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</row>
    <row r="1052" spans="1:17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</row>
    <row r="1053" spans="1:17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</row>
    <row r="1054" spans="1:17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</row>
    <row r="1055" spans="1:17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</row>
    <row r="1056" spans="1:17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</row>
    <row r="1057" spans="1:17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</row>
    <row r="1058" spans="1:17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</row>
    <row r="1059" spans="1:17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</row>
    <row r="1060" spans="1:17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</row>
    <row r="1061" spans="1:17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</row>
    <row r="1062" spans="1:17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</row>
    <row r="1063" spans="1:17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</row>
    <row r="1064" spans="1:17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</row>
    <row r="1065" spans="1:17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</row>
    <row r="1066" spans="1:17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</row>
    <row r="1067" spans="1:17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</row>
    <row r="1068" spans="1:17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</row>
    <row r="1069" spans="1:17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</row>
    <row r="1070" spans="1:17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</row>
    <row r="1071" spans="1:17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</row>
    <row r="1072" spans="1:17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</row>
    <row r="1073" spans="1:17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</row>
    <row r="1074" spans="1:17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</row>
    <row r="1075" spans="1:17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</row>
    <row r="1076" spans="1:17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</row>
    <row r="1077" spans="1:17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</row>
    <row r="1078" spans="1:17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</row>
    <row r="1079" spans="1:17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</row>
    <row r="1080" spans="1:17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</row>
    <row r="1081" spans="1:17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</row>
  </sheetData>
  <mergeCells count="2">
    <mergeCell ref="C1:F1"/>
    <mergeCell ref="C4:E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2</vt:i4>
      </vt:variant>
    </vt:vector>
  </HeadingPairs>
  <TitlesOfParts>
    <vt:vector size="7" baseType="lpstr">
      <vt:lpstr>Grupa Mercor</vt:lpstr>
      <vt:lpstr>Bilans Grupa Mercor</vt:lpstr>
      <vt:lpstr>RZiS Grupa Mercor</vt:lpstr>
      <vt:lpstr>Cash flow Grupa Mercor</vt:lpstr>
      <vt:lpstr>zamówienia</vt:lpstr>
      <vt:lpstr>'Grupa Mercor'!Obszar_wydruku</vt:lpstr>
      <vt:lpstr>'RZiS Grupa Mercor'!Obszar_wydruku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</dc:creator>
  <cp:lastModifiedBy>Anna Zygało</cp:lastModifiedBy>
  <cp:lastPrinted>2021-07-16T14:31:17Z</cp:lastPrinted>
  <dcterms:created xsi:type="dcterms:W3CDTF">2012-02-09T13:26:38Z</dcterms:created>
  <dcterms:modified xsi:type="dcterms:W3CDTF">2021-11-30T13:51:35Z</dcterms:modified>
</cp:coreProperties>
</file>